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70" tabRatio="773" activeTab="0"/>
  </bookViews>
  <sheets>
    <sheet name="Fiche de renseignements compéti" sheetId="1" r:id="rId1"/>
    <sheet name="Terrain_1" sheetId="2" r:id="rId2"/>
    <sheet name="Terrain_2" sheetId="3" r:id="rId3"/>
    <sheet name="Groupe A" sheetId="4" r:id="rId4"/>
    <sheet name="Groupe B" sheetId="5" r:id="rId5"/>
    <sheet name="Féminines" sheetId="6" r:id="rId6"/>
    <sheet name="Classement" sheetId="7" r:id="rId7"/>
    <sheet name="Arbitres" sheetId="8" r:id="rId8"/>
    <sheet name="Emargement" sheetId="9" r:id="rId9"/>
    <sheet name="Organisation Garçons" sheetId="10" r:id="rId10"/>
    <sheet name="Organisation Filles" sheetId="11" r:id="rId11"/>
  </sheets>
  <externalReferences>
    <externalReference r:id="rId14"/>
  </externalReferences>
  <definedNames>
    <definedName name="_xlfn.IFERROR" hidden="1">#NAME?</definedName>
    <definedName name="_xlfn.SINGLE" hidden="1">#NAME?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Q1A">'Fiche de renseignements compéti'!$B$14</definedName>
    <definedName name="EQ1B">'Fiche de renseignements compéti'!$B$15</definedName>
    <definedName name="EQ1C">'Fiche de renseignements compéti'!$B$16</definedName>
    <definedName name="EQ1D">'Fiche de renseignements compéti'!$B$17</definedName>
    <definedName name="EQ1E">'Fiche de renseignements compéti'!$B$18</definedName>
    <definedName name="EQ1F">'Fiche de renseignements compéti'!$B$19</definedName>
    <definedName name="EQ1G">'Fiche de renseignements compéti'!$B$20</definedName>
    <definedName name="EQ1H">'Fiche de renseignements compéti'!$B$21</definedName>
    <definedName name="EQ2A">'Fiche de renseignements compéti'!$B$22</definedName>
    <definedName name="EQ2B">'Fiche de renseignements compéti'!$B$23</definedName>
    <definedName name="EQ2C">'Fiche de renseignements compéti'!$B$26</definedName>
    <definedName name="EQ2D">'Fiche de renseignements compéti'!$B$27</definedName>
    <definedName name="EQ2E">'Fiche de renseignements compéti'!$B$28</definedName>
    <definedName name="EQ2F">'Fiche de renseignements compéti'!$B$29</definedName>
    <definedName name="EQ2G">'Fiche de renseignements compéti'!$B$30</definedName>
    <definedName name="EQ2H">'Fiche de renseignements compéti'!$B$31</definedName>
    <definedName name="EQFA">'Fiche de renseignements compéti'!$B$35</definedName>
    <definedName name="EQFB">'Fiche de renseignements compéti'!$B$36</definedName>
    <definedName name="EQFC">'Fiche de renseignements compéti'!$B$37</definedName>
    <definedName name="EQFD">'Fiche de renseignements compéti'!$B$38</definedName>
    <definedName name="EQFE">'Fiche de renseignements compéti'!$B$39</definedName>
    <definedName name="EQFF">'Fiche de renseignements compéti'!$B$40</definedName>
    <definedName name="EQFG">'Fiche de renseignements compéti'!$B$43</definedName>
    <definedName name="EQFH">'Fiche de renseignements compéti'!$B$44</definedName>
    <definedName name="lieu">'Fiche de renseignements compéti'!$C$7</definedName>
    <definedName name="m2_p26">'[1]poules'!$O$28</definedName>
    <definedName name="m2_p27">'[1]poules'!$O$27</definedName>
    <definedName name="NombreMatchsPauseRepas">'Fiche de renseignements compéti'!$D$47</definedName>
    <definedName name="_xlnm.Print_Area" localSheetId="6">'Classement'!$A$1:$D$17</definedName>
    <definedName name="_xlnm.Print_Area" localSheetId="8">'Emargement'!$A$1:$G$32</definedName>
    <definedName name="_xlnm.Print_Area" localSheetId="5">'Féminines'!$A$1:$AI$39</definedName>
    <definedName name="_xlnm.Print_Area" localSheetId="3">'Groupe A'!$A$1:$AI$43</definedName>
    <definedName name="_xlnm.Print_Area" localSheetId="4">'Groupe B'!$A$1:$AI$37</definedName>
    <definedName name="_xlnm.Print_Area" localSheetId="10">'Organisation Filles'!$A$1:$P$21</definedName>
    <definedName name="_xlnm.Print_Area" localSheetId="9">'Organisation Garçons'!$A$1:$P$43</definedName>
    <definedName name="_xlnm.Print_Area" localSheetId="2">'Terrain_2'!$A$1:$O$77</definedName>
    <definedName name="_xlnm.Print_Titles" localSheetId="1">'Terrain_1'!$1:$8</definedName>
    <definedName name="_xlnm.Print_Titles" localSheetId="2">'Terrain_2'!$1:$8</definedName>
    <definedName name="saison">'Fiche de renseignements compéti'!$C$4</definedName>
  </definedNames>
  <calcPr fullCalcOnLoad="1"/>
</workbook>
</file>

<file path=xl/sharedStrings.xml><?xml version="1.0" encoding="utf-8"?>
<sst xmlns="http://schemas.openxmlformats.org/spreadsheetml/2006/main" count="1027" uniqueCount="402">
  <si>
    <t>Saison</t>
  </si>
  <si>
    <t>2023-2024</t>
  </si>
  <si>
    <t>Catégorie</t>
  </si>
  <si>
    <t>Division 1 Manche 3</t>
  </si>
  <si>
    <t>Date</t>
  </si>
  <si>
    <t>18-19 et 20 mai 2024</t>
  </si>
  <si>
    <t>Lieu</t>
  </si>
  <si>
    <t>Montluçon</t>
  </si>
  <si>
    <t xml:space="preserve">Durée des matchs </t>
  </si>
  <si>
    <t>2*11' +2' de mi-temps +1' temps mort par  équipe +3' inter-match = 29'</t>
  </si>
  <si>
    <t xml:space="preserve">Durée des matchs 
</t>
  </si>
  <si>
    <t>Classement manche 1 Hommes</t>
  </si>
  <si>
    <t>FONTENAY-TRESIGNY</t>
  </si>
  <si>
    <t>DINAN</t>
  </si>
  <si>
    <t>RENNES</t>
  </si>
  <si>
    <t>MOIRANS</t>
  </si>
  <si>
    <t>PONTOISE</t>
  </si>
  <si>
    <t>DIDEROT XII</t>
  </si>
  <si>
    <t>CLAMART</t>
  </si>
  <si>
    <t>SAINTES</t>
  </si>
  <si>
    <t>PESSAC</t>
  </si>
  <si>
    <t>FRANCONVILLE</t>
  </si>
  <si>
    <t>Classement manche 2 Hommes</t>
  </si>
  <si>
    <t>LE CHESNAY</t>
  </si>
  <si>
    <t>NANTES</t>
  </si>
  <si>
    <t>LE PUY EN VELAY</t>
  </si>
  <si>
    <t>HYERES</t>
  </si>
  <si>
    <t>ERMONT</t>
  </si>
  <si>
    <t>Classement manche 1 Féminin</t>
  </si>
  <si>
    <t>LE CHESNAY F</t>
  </si>
  <si>
    <t>PONTOISE F</t>
  </si>
  <si>
    <t>HYERES F</t>
  </si>
  <si>
    <t>HOPE F</t>
  </si>
  <si>
    <t>FONTENAY-TRESIGNY F</t>
  </si>
  <si>
    <t>DINAN F</t>
  </si>
  <si>
    <t>Classement manche 2 Féminin</t>
  </si>
  <si>
    <t>MOIRANS F</t>
  </si>
  <si>
    <t>Nombre de matchs de repos pour la pause repas :</t>
  </si>
  <si>
    <t>Terrain</t>
  </si>
  <si>
    <t>Nom</t>
  </si>
  <si>
    <t>Prénom</t>
  </si>
  <si>
    <t>Club</t>
  </si>
  <si>
    <t>TRUC1</t>
  </si>
  <si>
    <t>Hervé</t>
  </si>
  <si>
    <t>MUCHE1</t>
  </si>
  <si>
    <t>Vincent</t>
  </si>
  <si>
    <t>FONTENAY</t>
  </si>
  <si>
    <t>BIDULE1</t>
  </si>
  <si>
    <t>Laurent</t>
  </si>
  <si>
    <t>ZOZO1</t>
  </si>
  <si>
    <t>Stephane</t>
  </si>
  <si>
    <t>ZAZA1</t>
  </si>
  <si>
    <t>Guillaume</t>
  </si>
  <si>
    <t>LOLO1</t>
  </si>
  <si>
    <t>Sébastien</t>
  </si>
  <si>
    <t>KIKI1</t>
  </si>
  <si>
    <t>Stéphane</t>
  </si>
  <si>
    <t>FLUTE1</t>
  </si>
  <si>
    <t>DUDU1</t>
  </si>
  <si>
    <t>Fabien</t>
  </si>
  <si>
    <t>LAGNY</t>
  </si>
  <si>
    <t>TRUC2</t>
  </si>
  <si>
    <t>MUCHE2</t>
  </si>
  <si>
    <t>BIDULE2</t>
  </si>
  <si>
    <t>ZOZO2</t>
  </si>
  <si>
    <t>ZAZA2</t>
  </si>
  <si>
    <t>LOLO2</t>
  </si>
  <si>
    <t>KIKI2</t>
  </si>
  <si>
    <t>FLUTE2</t>
  </si>
  <si>
    <t>DUDU2</t>
  </si>
  <si>
    <t>Saison :</t>
  </si>
  <si>
    <t xml:space="preserve">Lieu : </t>
  </si>
  <si>
    <t>CHAMPIONNAT DE France</t>
  </si>
  <si>
    <t>Date :</t>
  </si>
  <si>
    <t>Catégorie :</t>
  </si>
  <si>
    <t>Durée des matchs</t>
  </si>
  <si>
    <t xml:space="preserve">  Coté vitres au départ</t>
  </si>
  <si>
    <t xml:space="preserve">      Score</t>
  </si>
  <si>
    <t>Coté Gradins au départ</t>
  </si>
  <si>
    <t>ARBITRES</t>
  </si>
  <si>
    <t>Jour</t>
  </si>
  <si>
    <t>Horaires</t>
  </si>
  <si>
    <t>N°</t>
  </si>
  <si>
    <t>Equipes Noires</t>
  </si>
  <si>
    <t>Rep</t>
  </si>
  <si>
    <t>a</t>
  </si>
  <si>
    <t>Noir</t>
  </si>
  <si>
    <t>Blanc</t>
  </si>
  <si>
    <t>b</t>
  </si>
  <si>
    <t>Equipes Blanches</t>
  </si>
  <si>
    <t>Principal</t>
  </si>
  <si>
    <t>Aquatiques</t>
  </si>
  <si>
    <t>Samedi</t>
  </si>
  <si>
    <t>1A</t>
  </si>
  <si>
    <t>1B</t>
  </si>
  <si>
    <t>1C</t>
  </si>
  <si>
    <t>1D</t>
  </si>
  <si>
    <t>1E</t>
  </si>
  <si>
    <t>1F</t>
  </si>
  <si>
    <t>1G</t>
  </si>
  <si>
    <t>1H</t>
  </si>
  <si>
    <t xml:space="preserve">2A </t>
  </si>
  <si>
    <t>2B</t>
  </si>
  <si>
    <t>2C</t>
  </si>
  <si>
    <t>2D</t>
  </si>
  <si>
    <t>Réunion des Capitaines</t>
  </si>
  <si>
    <t>-</t>
  </si>
  <si>
    <t>2A</t>
  </si>
  <si>
    <t>2E</t>
  </si>
  <si>
    <t>2F</t>
  </si>
  <si>
    <t>2G</t>
  </si>
  <si>
    <t>2H</t>
  </si>
  <si>
    <t>Dimanche</t>
  </si>
  <si>
    <t>BAR A7</t>
  </si>
  <si>
    <t>BAR B2</t>
  </si>
  <si>
    <t>Lundi</t>
  </si>
  <si>
    <t>A-1</t>
  </si>
  <si>
    <t>A-8</t>
  </si>
  <si>
    <t>A-4</t>
  </si>
  <si>
    <t>A-5</t>
  </si>
  <si>
    <t>A-3</t>
  </si>
  <si>
    <t>A-6</t>
  </si>
  <si>
    <t>A-2</t>
  </si>
  <si>
    <t>A-7</t>
  </si>
  <si>
    <t>AP146</t>
  </si>
  <si>
    <t>AP147</t>
  </si>
  <si>
    <t>AP148</t>
  </si>
  <si>
    <t>AP149</t>
  </si>
  <si>
    <t>AG146</t>
  </si>
  <si>
    <t>AG147</t>
  </si>
  <si>
    <t>AG148</t>
  </si>
  <si>
    <t>AG149</t>
  </si>
  <si>
    <t>BP247</t>
  </si>
  <si>
    <t>BP246</t>
  </si>
  <si>
    <t>AP150</t>
  </si>
  <si>
    <t>AP151</t>
  </si>
  <si>
    <t>BG247</t>
  </si>
  <si>
    <t>BG246</t>
  </si>
  <si>
    <t>AG150</t>
  </si>
  <si>
    <t>AG151</t>
  </si>
  <si>
    <t>BP156</t>
  </si>
  <si>
    <t>BP255</t>
  </si>
  <si>
    <t>AP152</t>
  </si>
  <si>
    <t>AP153</t>
  </si>
  <si>
    <t>BG156</t>
  </si>
  <si>
    <t>BG255</t>
  </si>
  <si>
    <t>AG152</t>
  </si>
  <si>
    <t>AG153</t>
  </si>
  <si>
    <t>FA</t>
  </si>
  <si>
    <t>FB</t>
  </si>
  <si>
    <t>FC</t>
  </si>
  <si>
    <t>FD</t>
  </si>
  <si>
    <t>FE</t>
  </si>
  <si>
    <t>FF</t>
  </si>
  <si>
    <t>FG</t>
  </si>
  <si>
    <t>FH</t>
  </si>
  <si>
    <t>F1</t>
  </si>
  <si>
    <t>F8</t>
  </si>
  <si>
    <t>F4</t>
  </si>
  <si>
    <t>F5</t>
  </si>
  <si>
    <t>F3</t>
  </si>
  <si>
    <t>F6</t>
  </si>
  <si>
    <t>F2</t>
  </si>
  <si>
    <t>F7</t>
  </si>
  <si>
    <t>BAR A8</t>
  </si>
  <si>
    <t>BAR B1</t>
  </si>
  <si>
    <t>B-1</t>
  </si>
  <si>
    <t>B-8</t>
  </si>
  <si>
    <t>B-4</t>
  </si>
  <si>
    <t>B-5</t>
  </si>
  <si>
    <t>B-3</t>
  </si>
  <si>
    <t>B-6</t>
  </si>
  <si>
    <t>B-2</t>
  </si>
  <si>
    <t>B-7</t>
  </si>
  <si>
    <t>FP241</t>
  </si>
  <si>
    <t>FP242</t>
  </si>
  <si>
    <t>FP243</t>
  </si>
  <si>
    <t>FP244</t>
  </si>
  <si>
    <t>FG241</t>
  </si>
  <si>
    <t>FG242</t>
  </si>
  <si>
    <t>FG243</t>
  </si>
  <si>
    <t>FG244</t>
  </si>
  <si>
    <t>BP249</t>
  </si>
  <si>
    <t>BP248</t>
  </si>
  <si>
    <t>BG249</t>
  </si>
  <si>
    <t>BG248</t>
  </si>
  <si>
    <t>FP251</t>
  </si>
  <si>
    <t>FP250</t>
  </si>
  <si>
    <t>BP154</t>
  </si>
  <si>
    <t>BP254</t>
  </si>
  <si>
    <t>FG251</t>
  </si>
  <si>
    <t>FG250</t>
  </si>
  <si>
    <t>BG154</t>
  </si>
  <si>
    <t>BG254</t>
  </si>
  <si>
    <t>FG253</t>
  </si>
  <si>
    <t>FG252</t>
  </si>
  <si>
    <t>FP253</t>
  </si>
  <si>
    <t>FP252</t>
  </si>
  <si>
    <t>Pt.</t>
  </si>
  <si>
    <t>Cl.t</t>
  </si>
  <si>
    <t>Buts 
Contre</t>
  </si>
  <si>
    <t>Buts 
Pour</t>
  </si>
  <si>
    <t>M1</t>
  </si>
  <si>
    <t>M3</t>
  </si>
  <si>
    <t>Barrages</t>
  </si>
  <si>
    <t>Match M145</t>
  </si>
  <si>
    <t>Match M245</t>
  </si>
  <si>
    <t>BAR A-7</t>
  </si>
  <si>
    <t>BAR A-8</t>
  </si>
  <si>
    <t>BAR B-2</t>
  </si>
  <si>
    <t>BAR B-1</t>
  </si>
  <si>
    <t>Play Off</t>
  </si>
  <si>
    <t>Match M146</t>
  </si>
  <si>
    <t>Match M147</t>
  </si>
  <si>
    <t>Match M148</t>
  </si>
  <si>
    <t>Match M149</t>
  </si>
  <si>
    <t>Match M150</t>
  </si>
  <si>
    <t>Match M151</t>
  </si>
  <si>
    <t>Match M152</t>
  </si>
  <si>
    <t>Match M153</t>
  </si>
  <si>
    <t>P146</t>
  </si>
  <si>
    <t>P148</t>
  </si>
  <si>
    <t>G146</t>
  </si>
  <si>
    <t>G148</t>
  </si>
  <si>
    <t>P147</t>
  </si>
  <si>
    <t>P149</t>
  </si>
  <si>
    <t>G147</t>
  </si>
  <si>
    <t>G149</t>
  </si>
  <si>
    <t>Match M155</t>
  </si>
  <si>
    <t>Match M157</t>
  </si>
  <si>
    <t>Match M260</t>
  </si>
  <si>
    <t>Match M161</t>
  </si>
  <si>
    <t>P150</t>
  </si>
  <si>
    <t>G150</t>
  </si>
  <si>
    <t>P152</t>
  </si>
  <si>
    <t>G152</t>
  </si>
  <si>
    <t>P151</t>
  </si>
  <si>
    <t>G151</t>
  </si>
  <si>
    <t>P153</t>
  </si>
  <si>
    <t>G153</t>
  </si>
  <si>
    <r>
      <t>Places de 7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8</t>
    </r>
    <r>
      <rPr>
        <vertAlign val="superscript"/>
        <sz val="14"/>
        <rFont val="Arial"/>
        <family val="2"/>
      </rPr>
      <t>ème</t>
    </r>
  </si>
  <si>
    <r>
      <t>Places de 5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6</t>
    </r>
    <r>
      <rPr>
        <vertAlign val="superscript"/>
        <sz val="14"/>
        <rFont val="Arial"/>
        <family val="2"/>
      </rPr>
      <t>ème</t>
    </r>
  </si>
  <si>
    <t>Petite Finale</t>
  </si>
  <si>
    <t>FINALE</t>
  </si>
  <si>
    <t>M1-M2</t>
  </si>
  <si>
    <t>Match M246</t>
  </si>
  <si>
    <t>Match M247</t>
  </si>
  <si>
    <t>Match M248</t>
  </si>
  <si>
    <t>Match M249</t>
  </si>
  <si>
    <t>Match M154</t>
  </si>
  <si>
    <t>Match M254</t>
  </si>
  <si>
    <t>Match M156</t>
  </si>
  <si>
    <t>Match M255</t>
  </si>
  <si>
    <t>P246</t>
  </si>
  <si>
    <t>P248</t>
  </si>
  <si>
    <t>G246</t>
  </si>
  <si>
    <t>G248</t>
  </si>
  <si>
    <t>P247</t>
  </si>
  <si>
    <t>P249</t>
  </si>
  <si>
    <t>G247</t>
  </si>
  <si>
    <t>G249</t>
  </si>
  <si>
    <t>Match M257</t>
  </si>
  <si>
    <t>Match M259</t>
  </si>
  <si>
    <t>Match M158</t>
  </si>
  <si>
    <t>Match M160</t>
  </si>
  <si>
    <t>P154</t>
  </si>
  <si>
    <t>G154</t>
  </si>
  <si>
    <t>P156</t>
  </si>
  <si>
    <t>G156</t>
  </si>
  <si>
    <t>P254</t>
  </si>
  <si>
    <t>G254</t>
  </si>
  <si>
    <t>P255</t>
  </si>
  <si>
    <t>G255</t>
  </si>
  <si>
    <r>
      <t>Places 7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8</t>
    </r>
    <r>
      <rPr>
        <vertAlign val="superscript"/>
        <sz val="14"/>
        <rFont val="Arial"/>
        <family val="2"/>
      </rPr>
      <t>ème</t>
    </r>
  </si>
  <si>
    <r>
      <t>Places 5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6</t>
    </r>
    <r>
      <rPr>
        <vertAlign val="superscript"/>
        <sz val="14"/>
        <rFont val="Arial"/>
        <family val="2"/>
      </rPr>
      <t>ème</t>
    </r>
  </si>
  <si>
    <t>PETITE FINALE</t>
  </si>
  <si>
    <t>M1/M2</t>
  </si>
  <si>
    <t>Match M241</t>
  </si>
  <si>
    <t>Match M242</t>
  </si>
  <si>
    <t>Match M243</t>
  </si>
  <si>
    <t>Match M244</t>
  </si>
  <si>
    <t>F-1</t>
  </si>
  <si>
    <t>F-4</t>
  </si>
  <si>
    <t>F-3</t>
  </si>
  <si>
    <t>F-2</t>
  </si>
  <si>
    <t>F-8</t>
  </si>
  <si>
    <t>F-5</t>
  </si>
  <si>
    <t>F-6</t>
  </si>
  <si>
    <t>F-7</t>
  </si>
  <si>
    <t>Match M250</t>
  </si>
  <si>
    <t>Match M251</t>
  </si>
  <si>
    <t>Match M252</t>
  </si>
  <si>
    <t>Match M253</t>
  </si>
  <si>
    <t>P242</t>
  </si>
  <si>
    <t>P244</t>
  </si>
  <si>
    <t>G242</t>
  </si>
  <si>
    <t>G244</t>
  </si>
  <si>
    <t>P241</t>
  </si>
  <si>
    <t>P243</t>
  </si>
  <si>
    <t>G241</t>
  </si>
  <si>
    <t>G243</t>
  </si>
  <si>
    <t>Match M256</t>
  </si>
  <si>
    <t>Match M258</t>
  </si>
  <si>
    <t>Match M261</t>
  </si>
  <si>
    <t>Match M159</t>
  </si>
  <si>
    <t>P250</t>
  </si>
  <si>
    <t>G250</t>
  </si>
  <si>
    <t>P252</t>
  </si>
  <si>
    <t>G252</t>
  </si>
  <si>
    <t>P251</t>
  </si>
  <si>
    <t>G251</t>
  </si>
  <si>
    <t>P253</t>
  </si>
  <si>
    <t>G253</t>
  </si>
  <si>
    <t>Féminines</t>
  </si>
  <si>
    <t>Groupe A</t>
  </si>
  <si>
    <t>Sélectionnées pour Manche 1</t>
  </si>
  <si>
    <t>Groupe B</t>
  </si>
  <si>
    <r>
      <t>1</t>
    </r>
    <r>
      <rPr>
        <sz val="12"/>
        <rFont val="Arial"/>
        <family val="2"/>
      </rPr>
      <t xml:space="preserve"> (9)</t>
    </r>
  </si>
  <si>
    <r>
      <t>2</t>
    </r>
    <r>
      <rPr>
        <sz val="12"/>
        <rFont val="Arial"/>
        <family val="2"/>
      </rPr>
      <t xml:space="preserve"> (10)</t>
    </r>
  </si>
  <si>
    <r>
      <t>3</t>
    </r>
    <r>
      <rPr>
        <sz val="12"/>
        <rFont val="Arial"/>
        <family val="2"/>
      </rPr>
      <t xml:space="preserve"> (11)</t>
    </r>
  </si>
  <si>
    <t>Manche 2</t>
  </si>
  <si>
    <r>
      <t>4</t>
    </r>
    <r>
      <rPr>
        <sz val="12"/>
        <rFont val="Arial"/>
        <family val="2"/>
      </rPr>
      <t xml:space="preserve"> (12)</t>
    </r>
  </si>
  <si>
    <r>
      <t>5</t>
    </r>
    <r>
      <rPr>
        <sz val="12"/>
        <rFont val="Arial"/>
        <family val="2"/>
      </rPr>
      <t xml:space="preserve"> (13)</t>
    </r>
  </si>
  <si>
    <r>
      <t xml:space="preserve">6 </t>
    </r>
    <r>
      <rPr>
        <sz val="12"/>
        <rFont val="Arial"/>
        <family val="2"/>
      </rPr>
      <t>(14)</t>
    </r>
  </si>
  <si>
    <r>
      <t>7</t>
    </r>
    <r>
      <rPr>
        <sz val="12"/>
        <rFont val="Arial"/>
        <family val="2"/>
      </rPr>
      <t xml:space="preserve"> (15)</t>
    </r>
  </si>
  <si>
    <r>
      <t>8</t>
    </r>
    <r>
      <rPr>
        <sz val="12"/>
        <rFont val="Arial"/>
        <family val="2"/>
      </rPr>
      <t xml:space="preserve"> (16)</t>
    </r>
  </si>
  <si>
    <t>NOM</t>
  </si>
  <si>
    <t>PRENOM</t>
  </si>
  <si>
    <t>Prénom Nom</t>
  </si>
  <si>
    <t>PRINCIPAL</t>
  </si>
  <si>
    <t>AQUATIQUE</t>
  </si>
  <si>
    <t>CRITERE</t>
  </si>
  <si>
    <t>REPOS</t>
  </si>
  <si>
    <t>SELECTED</t>
  </si>
  <si>
    <t>REPAS</t>
  </si>
  <si>
    <t>LAST GAME</t>
  </si>
  <si>
    <t>S.KIKI2</t>
  </si>
  <si>
    <t>$N$55</t>
  </si>
  <si>
    <t>S.FLUTE2</t>
  </si>
  <si>
    <t>$M$56</t>
  </si>
  <si>
    <t>G.ZAZA2</t>
  </si>
  <si>
    <t>$O$54</t>
  </si>
  <si>
    <t>S.LOLO2</t>
  </si>
  <si>
    <t>$N$56</t>
  </si>
  <si>
    <t>L.BIDULE2</t>
  </si>
  <si>
    <t>$N$57</t>
  </si>
  <si>
    <t>S.ZOZO2</t>
  </si>
  <si>
    <t>$M$57</t>
  </si>
  <si>
    <t>H.TRUC2</t>
  </si>
  <si>
    <t>$O$56</t>
  </si>
  <si>
    <t>V.MUCHE2</t>
  </si>
  <si>
    <t>$O$57</t>
  </si>
  <si>
    <t>EMARGEMENT DES ARBITRES</t>
  </si>
  <si>
    <t>Fonction</t>
  </si>
  <si>
    <t>Comité</t>
  </si>
  <si>
    <t xml:space="preserve">Transport </t>
  </si>
  <si>
    <t>Hébergement</t>
  </si>
  <si>
    <t>Signature</t>
  </si>
  <si>
    <t>Commissaire</t>
  </si>
  <si>
    <t xml:space="preserve">Blanc </t>
  </si>
  <si>
    <t>Pascal</t>
  </si>
  <si>
    <t>IDF</t>
  </si>
  <si>
    <t>voiture</t>
  </si>
  <si>
    <t>hotel</t>
  </si>
  <si>
    <t>Commissaire stagière</t>
  </si>
  <si>
    <t>HARAR</t>
  </si>
  <si>
    <t>Gazi</t>
  </si>
  <si>
    <t>Arbitre</t>
  </si>
  <si>
    <t>Groupe A Manche 3</t>
  </si>
  <si>
    <t>Phase de classement</t>
  </si>
  <si>
    <t>Classement
antérieur</t>
  </si>
  <si>
    <t>ROND ROBIN</t>
  </si>
  <si>
    <t>1er</t>
  </si>
  <si>
    <t>EQUIPE 1</t>
  </si>
  <si>
    <t>2ème</t>
  </si>
  <si>
    <t>EQUIPE 2</t>
  </si>
  <si>
    <t>A2</t>
  </si>
  <si>
    <t>3ème</t>
  </si>
  <si>
    <t>EQUIPE 3</t>
  </si>
  <si>
    <t>4ème</t>
  </si>
  <si>
    <t>EQUIPE 4</t>
  </si>
  <si>
    <t>5ème</t>
  </si>
  <si>
    <t>EQUIPE 5</t>
  </si>
  <si>
    <t>6ème</t>
  </si>
  <si>
    <t>EQUIPE 6</t>
  </si>
  <si>
    <t>7ème</t>
  </si>
  <si>
    <t>EQUIPE 7</t>
  </si>
  <si>
    <t>8ème</t>
  </si>
  <si>
    <t>EQUIPE 8</t>
  </si>
  <si>
    <t>BARRAGES</t>
  </si>
  <si>
    <t>GROUPE B Manche 3</t>
  </si>
  <si>
    <t>EQUIPE 9</t>
  </si>
  <si>
    <t>EQUIPE 10</t>
  </si>
  <si>
    <t>EQUIPE 11</t>
  </si>
  <si>
    <t>EQUIPE 12</t>
  </si>
  <si>
    <t>EQUIPE 13</t>
  </si>
  <si>
    <t>EQUIPE 14</t>
  </si>
  <si>
    <t>EQUIPE 15</t>
  </si>
  <si>
    <t>EQUIPE 16</t>
  </si>
  <si>
    <t>Féminines Manche 3</t>
  </si>
  <si>
    <t>MORLAIX</t>
  </si>
  <si>
    <t>SAINT-MALO 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</si>
</sst>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F&quot;;[Red]\-#,##0\ &quot;F&quot;"/>
    <numFmt numFmtId="177" formatCode="h:mm;@"/>
  </numFmts>
  <fonts count="62"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sz val="11"/>
      <color indexed="62"/>
      <name val="Symbol"/>
      <family val="1"/>
    </font>
    <font>
      <b/>
      <sz val="16"/>
      <name val="Arial"/>
      <family val="2"/>
    </font>
    <font>
      <sz val="11"/>
      <name val="Arial"/>
      <family val="2"/>
    </font>
    <font>
      <i/>
      <u val="single"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Times New Roman"/>
      <family val="1"/>
    </font>
    <font>
      <vertAlign val="superscript"/>
      <sz val="14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bgColor indexed="9"/>
      </patternFill>
    </fill>
    <fill>
      <patternFill patternType="darkGray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darkGray">
        <fgColor indexed="29"/>
      </patternFill>
    </fill>
    <fill>
      <patternFill patternType="darkGray">
        <fgColor indexed="44"/>
      </patternFill>
    </fill>
    <fill>
      <patternFill patternType="solid">
        <fgColor theme="0"/>
        <bgColor indexed="64"/>
      </patternFill>
    </fill>
    <fill>
      <patternFill patternType="darkGray">
        <fgColor indexed="50"/>
      </patternFill>
    </fill>
    <fill>
      <patternFill patternType="gray0625"/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0" borderId="2" applyNumberFormat="0" applyFill="0" applyAlignment="0" applyProtection="0"/>
    <xf numFmtId="0" fontId="0" fillId="26" borderId="3" applyNumberFormat="0" applyFont="0" applyAlignment="0" applyProtection="0"/>
    <xf numFmtId="0" fontId="50" fillId="27" borderId="1" applyNumberForma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1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</cellStyleXfs>
  <cellXfs count="350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3" fillId="32" borderId="0" xfId="54" applyFont="1" applyFill="1" applyAlignment="1">
      <alignment horizontal="center" vertical="center"/>
      <protection/>
    </xf>
    <xf numFmtId="0" fontId="0" fillId="32" borderId="0" xfId="54" applyFill="1" applyAlignment="1">
      <alignment vertical="center" wrapText="1"/>
      <protection/>
    </xf>
    <xf numFmtId="0" fontId="3" fillId="32" borderId="0" xfId="54" applyFont="1" applyFill="1" applyAlignment="1">
      <alignment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0" fillId="32" borderId="0" xfId="54" applyFill="1" applyAlignment="1">
      <alignment vertical="center"/>
      <protection/>
    </xf>
    <xf numFmtId="0" fontId="2" fillId="32" borderId="0" xfId="54" applyFont="1" applyFill="1" applyAlignment="1">
      <alignment vertical="center"/>
      <protection/>
    </xf>
    <xf numFmtId="0" fontId="3" fillId="32" borderId="0" xfId="54" applyFont="1" applyFill="1" applyAlignment="1">
      <alignment horizontal="right" vertical="center"/>
      <protection/>
    </xf>
    <xf numFmtId="0" fontId="0" fillId="33" borderId="10" xfId="54" applyFill="1" applyBorder="1" applyAlignment="1">
      <alignment horizontal="left" vertical="center"/>
      <protection/>
    </xf>
    <xf numFmtId="0" fontId="0" fillId="33" borderId="10" xfId="54" applyFill="1" applyBorder="1" applyAlignment="1">
      <alignment vertical="center"/>
      <protection/>
    </xf>
    <xf numFmtId="0" fontId="3" fillId="32" borderId="0" xfId="54" applyFont="1" applyFill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0" fillId="32" borderId="0" xfId="54" applyFill="1" applyAlignment="1">
      <alignment horizontal="right" vertical="center"/>
      <protection/>
    </xf>
    <xf numFmtId="0" fontId="3" fillId="34" borderId="0" xfId="54" applyFont="1" applyFill="1" applyAlignment="1">
      <alignment horizontal="center" vertical="center"/>
      <protection/>
    </xf>
    <xf numFmtId="0" fontId="3" fillId="0" borderId="0" xfId="54" applyFont="1" applyAlignment="1">
      <alignment horizontal="right" vertical="center"/>
      <protection/>
    </xf>
    <xf numFmtId="0" fontId="0" fillId="0" borderId="0" xfId="54">
      <alignment/>
      <protection/>
    </xf>
    <xf numFmtId="0" fontId="2" fillId="0" borderId="0" xfId="55" applyFont="1" applyAlignment="1" applyProtection="1">
      <alignment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6" fillId="0" borderId="10" xfId="55" applyFont="1" applyBorder="1" applyAlignment="1" applyProtection="1">
      <alignment vertical="center"/>
      <protection/>
    </xf>
    <xf numFmtId="0" fontId="7" fillId="0" borderId="0" xfId="55" applyFont="1" applyProtection="1">
      <alignment/>
      <protection/>
    </xf>
    <xf numFmtId="0" fontId="0" fillId="0" borderId="0" xfId="55" applyProtection="1">
      <alignment/>
      <protection/>
    </xf>
    <xf numFmtId="0" fontId="3" fillId="35" borderId="10" xfId="54" applyFont="1" applyFill="1" applyBorder="1" applyAlignment="1">
      <alignment vertical="center"/>
      <protection/>
    </xf>
    <xf numFmtId="0" fontId="0" fillId="0" borderId="10" xfId="54" applyBorder="1" applyAlignment="1">
      <alignment vertical="center"/>
      <protection/>
    </xf>
    <xf numFmtId="0" fontId="5" fillId="0" borderId="10" xfId="54" applyFont="1" applyBorder="1" applyAlignment="1">
      <alignment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0" xfId="54" applyBorder="1" applyAlignment="1">
      <alignment horizontal="center" vertical="center"/>
      <protection/>
    </xf>
    <xf numFmtId="0" fontId="0" fillId="0" borderId="10" xfId="54" applyFont="1" applyBorder="1" applyAlignment="1">
      <alignment vertical="center" wrapText="1"/>
      <protection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0" fillId="0" borderId="10" xfId="54" applyFont="1" applyBorder="1" applyAlignment="1">
      <alignment vertical="center"/>
      <protection/>
    </xf>
    <xf numFmtId="0" fontId="0" fillId="0" borderId="0" xfId="55" applyAlignment="1">
      <alignment shrinkToFit="1"/>
      <protection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49" fontId="0" fillId="0" borderId="10" xfId="55" applyNumberFormat="1" applyFont="1" applyFill="1" applyBorder="1" applyAlignment="1">
      <alignment horizontal="center" shrinkToFit="1"/>
      <protection/>
    </xf>
    <xf numFmtId="49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10" xfId="55" applyBorder="1">
      <alignment/>
      <protection/>
    </xf>
    <xf numFmtId="0" fontId="0" fillId="0" borderId="0" xfId="54" applyProtection="1">
      <alignment/>
      <protection/>
    </xf>
    <xf numFmtId="0" fontId="7" fillId="0" borderId="0" xfId="54" applyFont="1" applyAlignment="1" applyProtection="1">
      <alignment vertical="center"/>
      <protection/>
    </xf>
    <xf numFmtId="0" fontId="7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7" fillId="0" borderId="0" xfId="54" applyFont="1" applyProtection="1">
      <alignment/>
      <protection/>
    </xf>
    <xf numFmtId="0" fontId="2" fillId="0" borderId="0" xfId="54" applyFont="1" applyAlignment="1" applyProtection="1">
      <alignment horizontal="center"/>
      <protection/>
    </xf>
    <xf numFmtId="0" fontId="2" fillId="0" borderId="0" xfId="54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6" fillId="0" borderId="12" xfId="54" applyFont="1" applyBorder="1" applyAlignment="1" applyProtection="1">
      <alignment vertical="center"/>
      <protection/>
    </xf>
    <xf numFmtId="0" fontId="6" fillId="0" borderId="13" xfId="54" applyFont="1" applyBorder="1" applyAlignment="1" applyProtection="1">
      <alignment vertical="center"/>
      <protection/>
    </xf>
    <xf numFmtId="0" fontId="6" fillId="0" borderId="0" xfId="54" applyFont="1" applyBorder="1" applyAlignment="1" applyProtection="1">
      <alignment horizontal="center" vertical="center"/>
      <protection/>
    </xf>
    <xf numFmtId="0" fontId="0" fillId="0" borderId="13" xfId="54" applyBorder="1" applyAlignment="1" applyProtection="1">
      <alignment/>
      <protection/>
    </xf>
    <xf numFmtId="0" fontId="7" fillId="0" borderId="0" xfId="54" applyFont="1" applyProtection="1">
      <alignment/>
      <protection locked="0"/>
    </xf>
    <xf numFmtId="0" fontId="2" fillId="0" borderId="0" xfId="54" applyFont="1" applyAlignment="1" applyProtection="1">
      <alignment horizontal="center"/>
      <protection locked="0"/>
    </xf>
    <xf numFmtId="0" fontId="2" fillId="0" borderId="0" xfId="54" applyFont="1" applyAlignment="1">
      <alignment horizontal="center" vertical="center"/>
      <protection/>
    </xf>
    <xf numFmtId="0" fontId="2" fillId="36" borderId="14" xfId="54" applyFont="1" applyFill="1" applyBorder="1" applyAlignment="1" applyProtection="1">
      <alignment vertical="center"/>
      <protection locked="0"/>
    </xf>
    <xf numFmtId="0" fontId="2" fillId="36" borderId="15" xfId="54" applyFont="1" applyFill="1" applyBorder="1" applyAlignment="1">
      <alignment horizontal="center" vertical="center"/>
      <protection/>
    </xf>
    <xf numFmtId="0" fontId="7" fillId="36" borderId="16" xfId="54" applyFont="1" applyFill="1" applyBorder="1" applyAlignment="1" applyProtection="1">
      <alignment vertical="center"/>
      <protection locked="0"/>
    </xf>
    <xf numFmtId="0" fontId="2" fillId="36" borderId="17" xfId="54" applyFont="1" applyFill="1" applyBorder="1" applyAlignment="1">
      <alignment horizontal="center" vertical="center"/>
      <protection/>
    </xf>
    <xf numFmtId="0" fontId="7" fillId="36" borderId="18" xfId="54" applyFont="1" applyFill="1" applyBorder="1" applyAlignment="1" applyProtection="1">
      <alignment vertical="center"/>
      <protection locked="0"/>
    </xf>
    <xf numFmtId="0" fontId="2" fillId="36" borderId="19" xfId="54" applyFont="1" applyFill="1" applyBorder="1" applyAlignment="1">
      <alignment horizontal="center" vertical="center"/>
      <protection/>
    </xf>
    <xf numFmtId="0" fontId="2" fillId="32" borderId="20" xfId="54" applyFont="1" applyFill="1" applyBorder="1" applyAlignment="1" applyProtection="1">
      <alignment vertical="center"/>
      <protection locked="0"/>
    </xf>
    <xf numFmtId="0" fontId="2" fillId="32" borderId="21" xfId="54" applyFont="1" applyFill="1" applyBorder="1" applyAlignment="1">
      <alignment horizontal="center" vertical="center"/>
      <protection/>
    </xf>
    <xf numFmtId="0" fontId="7" fillId="32" borderId="22" xfId="54" applyFont="1" applyFill="1" applyBorder="1" applyAlignment="1" applyProtection="1">
      <alignment vertical="center"/>
      <protection locked="0"/>
    </xf>
    <xf numFmtId="0" fontId="2" fillId="32" borderId="12" xfId="54" applyFont="1" applyFill="1" applyBorder="1" applyAlignment="1">
      <alignment horizontal="center" vertical="center"/>
      <protection/>
    </xf>
    <xf numFmtId="0" fontId="7" fillId="32" borderId="23" xfId="54" applyFont="1" applyFill="1" applyBorder="1" applyAlignment="1" applyProtection="1">
      <alignment vertical="center"/>
      <protection locked="0"/>
    </xf>
    <xf numFmtId="0" fontId="2" fillId="32" borderId="24" xfId="54" applyFont="1" applyFill="1" applyBorder="1" applyAlignment="1">
      <alignment horizontal="center" vertical="center"/>
      <protection/>
    </xf>
    <xf numFmtId="0" fontId="7" fillId="4" borderId="22" xfId="54" applyFont="1" applyFill="1" applyBorder="1" applyAlignment="1" applyProtection="1">
      <alignment vertical="center"/>
      <protection locked="0"/>
    </xf>
    <xf numFmtId="0" fontId="2" fillId="4" borderId="12" xfId="54" applyFont="1" applyFill="1" applyBorder="1" applyAlignment="1">
      <alignment horizontal="center" vertical="center"/>
      <protection/>
    </xf>
    <xf numFmtId="0" fontId="7" fillId="4" borderId="23" xfId="54" applyFont="1" applyFill="1" applyBorder="1" applyAlignment="1" applyProtection="1">
      <alignment vertical="center"/>
      <protection locked="0"/>
    </xf>
    <xf numFmtId="0" fontId="2" fillId="4" borderId="24" xfId="54" applyFont="1" applyFill="1" applyBorder="1" applyAlignment="1">
      <alignment horizontal="center" vertical="center"/>
      <protection/>
    </xf>
    <xf numFmtId="0" fontId="11" fillId="0" borderId="0" xfId="54" applyFo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0" fontId="7" fillId="0" borderId="0" xfId="54" applyFont="1" applyBorder="1" applyAlignment="1" applyProtection="1">
      <alignment vertical="center"/>
      <protection/>
    </xf>
    <xf numFmtId="0" fontId="7" fillId="0" borderId="0" xfId="54" applyFont="1" applyBorder="1" applyAlignment="1" applyProtection="1">
      <alignment horizontal="left" vertical="center"/>
      <protection/>
    </xf>
    <xf numFmtId="0" fontId="7" fillId="0" borderId="0" xfId="54" applyFont="1" applyAlignment="1" applyProtection="1">
      <alignment horizontal="center"/>
      <protection/>
    </xf>
    <xf numFmtId="0" fontId="7" fillId="0" borderId="0" xfId="54" applyFont="1" applyFill="1" applyAlignment="1" applyProtection="1">
      <alignment horizontal="center"/>
      <protection/>
    </xf>
    <xf numFmtId="0" fontId="7" fillId="0" borderId="0" xfId="54" applyFont="1" applyAlignment="1" applyProtection="1">
      <alignment horizontal="center" vertical="center"/>
      <protection/>
    </xf>
    <xf numFmtId="0" fontId="13" fillId="0" borderId="0" xfId="54" applyFont="1" applyAlignment="1" applyProtection="1">
      <alignment horizontal="center" vertical="center"/>
      <protection/>
    </xf>
    <xf numFmtId="0" fontId="7" fillId="37" borderId="14" xfId="54" applyFont="1" applyFill="1" applyBorder="1" applyAlignment="1" applyProtection="1">
      <alignment horizontal="center"/>
      <protection/>
    </xf>
    <xf numFmtId="0" fontId="2" fillId="0" borderId="25" xfId="54" applyFont="1" applyBorder="1" applyProtection="1">
      <alignment/>
      <protection/>
    </xf>
    <xf numFmtId="0" fontId="7" fillId="37" borderId="25" xfId="54" applyFont="1" applyFill="1" applyBorder="1" applyAlignment="1" applyProtection="1">
      <alignment horizontal="center"/>
      <protection/>
    </xf>
    <xf numFmtId="0" fontId="2" fillId="38" borderId="25" xfId="54" applyFont="1" applyFill="1" applyBorder="1" applyAlignment="1" applyProtection="1">
      <alignment horizontal="center"/>
      <protection/>
    </xf>
    <xf numFmtId="0" fontId="7" fillId="37" borderId="16" xfId="54" applyFont="1" applyFill="1" applyBorder="1" applyAlignment="1" applyProtection="1">
      <alignment horizontal="center"/>
      <protection/>
    </xf>
    <xf numFmtId="0" fontId="2" fillId="0" borderId="10" xfId="54" applyFont="1" applyBorder="1" applyProtection="1">
      <alignment/>
      <protection/>
    </xf>
    <xf numFmtId="0" fontId="7" fillId="37" borderId="10" xfId="54" applyFont="1" applyFill="1" applyBorder="1" applyAlignment="1" applyProtection="1">
      <alignment horizontal="center"/>
      <protection/>
    </xf>
    <xf numFmtId="0" fontId="2" fillId="38" borderId="10" xfId="54" applyFont="1" applyFill="1" applyBorder="1" applyAlignment="1" applyProtection="1">
      <alignment horizontal="center"/>
      <protection/>
    </xf>
    <xf numFmtId="0" fontId="2" fillId="39" borderId="10" xfId="54" applyFont="1" applyFill="1" applyBorder="1" applyAlignment="1" applyProtection="1">
      <alignment horizontal="center"/>
      <protection/>
    </xf>
    <xf numFmtId="0" fontId="7" fillId="37" borderId="18" xfId="54" applyFont="1" applyFill="1" applyBorder="1" applyAlignment="1" applyProtection="1">
      <alignment horizontal="center"/>
      <protection/>
    </xf>
    <xf numFmtId="0" fontId="2" fillId="0" borderId="26" xfId="54" applyFont="1" applyBorder="1" applyProtection="1">
      <alignment/>
      <protection/>
    </xf>
    <xf numFmtId="0" fontId="2" fillId="39" borderId="26" xfId="54" applyFont="1" applyFill="1" applyBorder="1" applyAlignment="1" applyProtection="1">
      <alignment horizontal="center"/>
      <protection/>
    </xf>
    <xf numFmtId="0" fontId="2" fillId="38" borderId="26" xfId="54" applyFont="1" applyFill="1" applyBorder="1" applyAlignment="1" applyProtection="1">
      <alignment horizontal="center"/>
      <protection/>
    </xf>
    <xf numFmtId="0" fontId="7" fillId="37" borderId="26" xfId="54" applyFont="1" applyFill="1" applyBorder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Border="1" applyAlignment="1" applyProtection="1">
      <alignment horizontal="center"/>
      <protection/>
    </xf>
    <xf numFmtId="0" fontId="0" fillId="0" borderId="0" xfId="54" applyFont="1" applyAlignment="1" applyProtection="1">
      <alignment horizontal="center" vertical="center"/>
      <protection/>
    </xf>
    <xf numFmtId="0" fontId="2" fillId="0" borderId="14" xfId="54" applyFont="1" applyBorder="1" applyProtection="1">
      <alignment/>
      <protection/>
    </xf>
    <xf numFmtId="1" fontId="7" fillId="37" borderId="25" xfId="54" applyNumberFormat="1" applyFont="1" applyFill="1" applyBorder="1" applyAlignment="1" applyProtection="1">
      <alignment horizontal="center"/>
      <protection/>
    </xf>
    <xf numFmtId="0" fontId="2" fillId="0" borderId="16" xfId="54" applyFont="1" applyBorder="1" applyProtection="1">
      <alignment/>
      <protection/>
    </xf>
    <xf numFmtId="1" fontId="7" fillId="37" borderId="10" xfId="54" applyNumberFormat="1" applyFont="1" applyFill="1" applyBorder="1" applyAlignment="1" applyProtection="1">
      <alignment horizontal="center"/>
      <protection/>
    </xf>
    <xf numFmtId="0" fontId="2" fillId="0" borderId="18" xfId="54" applyFont="1" applyBorder="1" applyProtection="1">
      <alignment/>
      <protection/>
    </xf>
    <xf numFmtId="1" fontId="7" fillId="37" borderId="26" xfId="54" applyNumberFormat="1" applyFont="1" applyFill="1" applyBorder="1" applyAlignment="1" applyProtection="1">
      <alignment horizontal="center"/>
      <protection/>
    </xf>
    <xf numFmtId="0" fontId="14" fillId="0" borderId="0" xfId="54" applyFont="1" applyProtection="1">
      <alignment/>
      <protection/>
    </xf>
    <xf numFmtId="0" fontId="11" fillId="10" borderId="14" xfId="54" applyFont="1" applyFill="1" applyBorder="1" applyAlignment="1" applyProtection="1">
      <alignment horizontal="center" vertical="center" shrinkToFit="1"/>
      <protection/>
    </xf>
    <xf numFmtId="0" fontId="14" fillId="10" borderId="25" xfId="54" applyFont="1" applyFill="1" applyBorder="1" applyAlignment="1" applyProtection="1">
      <alignment horizontal="center" vertical="center" shrinkToFit="1"/>
      <protection locked="0"/>
    </xf>
    <xf numFmtId="0" fontId="14" fillId="10" borderId="15" xfId="54" applyFont="1" applyFill="1" applyBorder="1" applyAlignment="1" applyProtection="1">
      <alignment horizontal="center" vertical="center" shrinkToFit="1"/>
      <protection locked="0"/>
    </xf>
    <xf numFmtId="0" fontId="5" fillId="0" borderId="0" xfId="54" applyFont="1" applyAlignment="1" applyProtection="1">
      <alignment horizontal="center"/>
      <protection/>
    </xf>
    <xf numFmtId="0" fontId="11" fillId="0" borderId="0" xfId="54" applyFont="1" applyBorder="1" applyProtection="1">
      <alignment/>
      <protection/>
    </xf>
    <xf numFmtId="0" fontId="11" fillId="10" borderId="18" xfId="54" applyFont="1" applyFill="1" applyBorder="1" applyAlignment="1" applyProtection="1">
      <alignment horizontal="center" vertical="center" shrinkToFit="1"/>
      <protection/>
    </xf>
    <xf numFmtId="0" fontId="14" fillId="10" borderId="26" xfId="54" applyFont="1" applyFill="1" applyBorder="1" applyAlignment="1" applyProtection="1">
      <alignment horizontal="center" vertical="center" shrinkToFit="1"/>
      <protection locked="0"/>
    </xf>
    <xf numFmtId="0" fontId="14" fillId="10" borderId="19" xfId="54" applyFont="1" applyFill="1" applyBorder="1" applyAlignment="1" applyProtection="1">
      <alignment horizontal="center" vertical="center" shrinkToFit="1"/>
      <protection locked="0"/>
    </xf>
    <xf numFmtId="0" fontId="7" fillId="0" borderId="0" xfId="54" applyFont="1" applyAlignment="1" applyProtection="1">
      <alignment horizontal="center"/>
      <protection locked="0"/>
    </xf>
    <xf numFmtId="0" fontId="14" fillId="0" borderId="0" xfId="54" applyFont="1" applyProtection="1">
      <alignment/>
      <protection locked="0"/>
    </xf>
    <xf numFmtId="0" fontId="11" fillId="0" borderId="0" xfId="54" applyFont="1" applyProtection="1">
      <alignment/>
      <protection locked="0"/>
    </xf>
    <xf numFmtId="0" fontId="11" fillId="10" borderId="14" xfId="54" applyFont="1" applyFill="1" applyBorder="1" applyAlignment="1" applyProtection="1">
      <alignment horizontal="center" vertical="center" shrinkToFit="1"/>
      <protection locked="0"/>
    </xf>
    <xf numFmtId="0" fontId="5" fillId="0" borderId="0" xfId="54" applyFont="1" applyAlignment="1" applyProtection="1">
      <alignment horizontal="center"/>
      <protection locked="0"/>
    </xf>
    <xf numFmtId="0" fontId="11" fillId="0" borderId="0" xfId="54" applyFont="1" applyBorder="1" applyProtection="1">
      <alignment/>
      <protection locked="0"/>
    </xf>
    <xf numFmtId="0" fontId="11" fillId="10" borderId="18" xfId="54" applyFont="1" applyFill="1" applyBorder="1" applyAlignment="1" applyProtection="1">
      <alignment horizontal="center" vertical="center" shrinkToFit="1"/>
      <protection locked="0"/>
    </xf>
    <xf numFmtId="0" fontId="11" fillId="40" borderId="14" xfId="54" applyFont="1" applyFill="1" applyBorder="1" applyAlignment="1" applyProtection="1">
      <alignment horizontal="center" vertical="center" shrinkToFit="1"/>
      <protection locked="0"/>
    </xf>
    <xf numFmtId="0" fontId="14" fillId="40" borderId="25" xfId="54" applyFont="1" applyFill="1" applyBorder="1" applyAlignment="1" applyProtection="1">
      <alignment horizontal="center" vertical="center" shrinkToFit="1"/>
      <protection locked="0"/>
    </xf>
    <xf numFmtId="0" fontId="14" fillId="40" borderId="15" xfId="54" applyFont="1" applyFill="1" applyBorder="1" applyAlignment="1" applyProtection="1">
      <alignment horizontal="center" vertical="center" shrinkToFit="1"/>
      <protection locked="0"/>
    </xf>
    <xf numFmtId="0" fontId="11" fillId="40" borderId="18" xfId="54" applyFont="1" applyFill="1" applyBorder="1" applyAlignment="1" applyProtection="1">
      <alignment horizontal="center" vertical="center" shrinkToFit="1"/>
      <protection locked="0"/>
    </xf>
    <xf numFmtId="0" fontId="14" fillId="40" borderId="26" xfId="54" applyFont="1" applyFill="1" applyBorder="1" applyAlignment="1" applyProtection="1">
      <alignment horizontal="center" vertical="center" shrinkToFit="1"/>
      <protection locked="0"/>
    </xf>
    <xf numFmtId="0" fontId="14" fillId="40" borderId="19" xfId="54" applyFont="1" applyFill="1" applyBorder="1" applyAlignment="1" applyProtection="1">
      <alignment horizontal="center" vertical="center" shrinkToFit="1"/>
      <protection locked="0"/>
    </xf>
    <xf numFmtId="0" fontId="14" fillId="0" borderId="0" xfId="54" applyFont="1" applyBorder="1" applyAlignment="1" applyProtection="1">
      <alignment/>
      <protection locked="0"/>
    </xf>
    <xf numFmtId="0" fontId="7" fillId="0" borderId="27" xfId="54" applyFont="1" applyBorder="1" applyAlignment="1" applyProtection="1">
      <alignment vertical="center"/>
      <protection/>
    </xf>
    <xf numFmtId="0" fontId="2" fillId="0" borderId="0" xfId="54" applyFont="1" applyBorder="1" applyAlignment="1" applyProtection="1">
      <alignment vertical="center"/>
      <protection/>
    </xf>
    <xf numFmtId="0" fontId="3" fillId="0" borderId="0" xfId="54" applyFont="1" applyAlignment="1" applyProtection="1">
      <alignment horizontal="center" vertical="center"/>
      <protection/>
    </xf>
    <xf numFmtId="0" fontId="2" fillId="0" borderId="15" xfId="54" applyFont="1" applyBorder="1" applyAlignment="1" applyProtection="1">
      <alignment horizontal="center"/>
      <protection/>
    </xf>
    <xf numFmtId="0" fontId="2" fillId="0" borderId="17" xfId="54" applyFont="1" applyBorder="1" applyAlignment="1" applyProtection="1">
      <alignment horizontal="center"/>
      <protection/>
    </xf>
    <xf numFmtId="0" fontId="2" fillId="0" borderId="19" xfId="54" applyFont="1" applyBorder="1" applyAlignment="1" applyProtection="1">
      <alignment horizontal="center"/>
      <protection/>
    </xf>
    <xf numFmtId="0" fontId="7" fillId="0" borderId="0" xfId="54" applyFont="1" applyBorder="1" applyProtection="1">
      <alignment/>
      <protection locked="0"/>
    </xf>
    <xf numFmtId="0" fontId="6" fillId="0" borderId="0" xfId="54" applyFont="1" applyAlignment="1" applyProtection="1">
      <alignment horizontal="center"/>
      <protection/>
    </xf>
    <xf numFmtId="0" fontId="6" fillId="0" borderId="0" xfId="54" applyFont="1" applyAlignment="1" applyProtection="1">
      <alignment horizontal="center"/>
      <protection locked="0"/>
    </xf>
    <xf numFmtId="0" fontId="7" fillId="0" borderId="28" xfId="54" applyFont="1" applyBorder="1" applyAlignment="1" applyProtection="1">
      <alignment horizontal="center" vertical="center" wrapText="1"/>
      <protection/>
    </xf>
    <xf numFmtId="0" fontId="7" fillId="0" borderId="25" xfId="54" applyFont="1" applyBorder="1" applyAlignment="1" applyProtection="1">
      <alignment horizontal="center"/>
      <protection/>
    </xf>
    <xf numFmtId="0" fontId="7" fillId="0" borderId="15" xfId="54" applyFont="1" applyBorder="1" applyAlignment="1" applyProtection="1">
      <alignment horizontal="center"/>
      <protection/>
    </xf>
    <xf numFmtId="0" fontId="7" fillId="0" borderId="10" xfId="54" applyFont="1" applyBorder="1" applyAlignment="1" applyProtection="1">
      <alignment horizontal="center"/>
      <protection/>
    </xf>
    <xf numFmtId="0" fontId="7" fillId="0" borderId="17" xfId="54" applyFont="1" applyBorder="1" applyAlignment="1" applyProtection="1">
      <alignment horizontal="center"/>
      <protection/>
    </xf>
    <xf numFmtId="0" fontId="7" fillId="0" borderId="26" xfId="54" applyFont="1" applyBorder="1" applyAlignment="1" applyProtection="1">
      <alignment horizontal="center"/>
      <protection/>
    </xf>
    <xf numFmtId="0" fontId="7" fillId="0" borderId="19" xfId="54" applyFont="1" applyBorder="1" applyAlignment="1" applyProtection="1">
      <alignment horizontal="center"/>
      <protection/>
    </xf>
    <xf numFmtId="0" fontId="2" fillId="0" borderId="0" xfId="54" applyFont="1" applyBorder="1" applyProtection="1">
      <alignment/>
      <protection/>
    </xf>
    <xf numFmtId="0" fontId="7" fillId="0" borderId="0" xfId="54" applyFont="1" applyFill="1" applyBorder="1" applyAlignment="1" applyProtection="1">
      <alignment horizontal="center"/>
      <protection/>
    </xf>
    <xf numFmtId="0" fontId="7" fillId="41" borderId="0" xfId="54" applyFont="1" applyFill="1" applyBorder="1" applyAlignment="1" applyProtection="1">
      <alignment horizontal="center"/>
      <protection/>
    </xf>
    <xf numFmtId="0" fontId="7" fillId="42" borderId="14" xfId="54" applyFont="1" applyFill="1" applyBorder="1" applyAlignment="1" applyProtection="1">
      <alignment horizontal="center" vertical="center" shrinkToFit="1"/>
      <protection/>
    </xf>
    <xf numFmtId="0" fontId="14" fillId="42" borderId="25" xfId="54" applyFont="1" applyFill="1" applyBorder="1" applyAlignment="1" applyProtection="1">
      <alignment horizontal="center" vertical="center" shrinkToFit="1"/>
      <protection locked="0"/>
    </xf>
    <xf numFmtId="0" fontId="14" fillId="42" borderId="15" xfId="54" applyFont="1" applyFill="1" applyBorder="1" applyAlignment="1" applyProtection="1">
      <alignment horizontal="center" vertical="center" shrinkToFit="1"/>
      <protection locked="0"/>
    </xf>
    <xf numFmtId="0" fontId="14" fillId="0" borderId="0" xfId="54" applyFont="1" applyBorder="1" applyProtection="1">
      <alignment/>
      <protection/>
    </xf>
    <xf numFmtId="0" fontId="7" fillId="42" borderId="18" xfId="54" applyFont="1" applyFill="1" applyBorder="1" applyAlignment="1" applyProtection="1">
      <alignment horizontal="center" vertical="center" shrinkToFit="1"/>
      <protection/>
    </xf>
    <xf numFmtId="0" fontId="14" fillId="42" borderId="26" xfId="54" applyFont="1" applyFill="1" applyBorder="1" applyAlignment="1" applyProtection="1">
      <alignment horizontal="center" vertical="center" shrinkToFit="1"/>
      <protection locked="0"/>
    </xf>
    <xf numFmtId="0" fontId="14" fillId="42" borderId="19" xfId="54" applyFont="1" applyFill="1" applyBorder="1" applyAlignment="1" applyProtection="1">
      <alignment horizontal="center" vertical="center" shrinkToFit="1"/>
      <protection locked="0"/>
    </xf>
    <xf numFmtId="0" fontId="7" fillId="42" borderId="14" xfId="54" applyFont="1" applyFill="1" applyBorder="1" applyAlignment="1" applyProtection="1">
      <alignment horizontal="center" vertical="center" shrinkToFit="1"/>
      <protection locked="0"/>
    </xf>
    <xf numFmtId="0" fontId="14" fillId="0" borderId="0" xfId="54" applyFont="1" applyBorder="1" applyProtection="1">
      <alignment/>
      <protection locked="0"/>
    </xf>
    <xf numFmtId="0" fontId="7" fillId="42" borderId="18" xfId="54" applyFont="1" applyFill="1" applyBorder="1" applyAlignment="1" applyProtection="1">
      <alignment horizontal="center" vertical="center" shrinkToFit="1"/>
      <protection locked="0"/>
    </xf>
    <xf numFmtId="0" fontId="7" fillId="40" borderId="14" xfId="54" applyFont="1" applyFill="1" applyBorder="1" applyAlignment="1" applyProtection="1">
      <alignment horizontal="center" vertical="center" shrinkToFit="1"/>
      <protection locked="0"/>
    </xf>
    <xf numFmtId="0" fontId="7" fillId="40" borderId="18" xfId="54" applyFont="1" applyFill="1" applyBorder="1" applyAlignment="1" applyProtection="1">
      <alignment horizontal="center" vertical="center" shrinkToFit="1"/>
      <protection locked="0"/>
    </xf>
    <xf numFmtId="0" fontId="14" fillId="0" borderId="0" xfId="54" applyFont="1" applyAlignment="1" applyProtection="1">
      <alignment horizontal="center"/>
      <protection/>
    </xf>
    <xf numFmtId="0" fontId="14" fillId="0" borderId="0" xfId="54" applyFont="1" applyAlignment="1" applyProtection="1">
      <alignment horizontal="center"/>
      <protection locked="0"/>
    </xf>
    <xf numFmtId="0" fontId="7" fillId="10" borderId="14" xfId="54" applyFont="1" applyFill="1" applyBorder="1" applyAlignment="1" applyProtection="1">
      <alignment horizontal="center" vertical="center" shrinkToFit="1"/>
      <protection/>
    </xf>
    <xf numFmtId="0" fontId="7" fillId="10" borderId="18" xfId="54" applyFont="1" applyFill="1" applyBorder="1" applyAlignment="1" applyProtection="1">
      <alignment horizontal="center" vertical="center" shrinkToFit="1"/>
      <protection/>
    </xf>
    <xf numFmtId="0" fontId="7" fillId="10" borderId="14" xfId="54" applyFont="1" applyFill="1" applyBorder="1" applyAlignment="1" applyProtection="1">
      <alignment horizontal="center" vertical="center" shrinkToFit="1"/>
      <protection locked="0"/>
    </xf>
    <xf numFmtId="0" fontId="7" fillId="10" borderId="14" xfId="54" applyFont="1" applyFill="1" applyBorder="1" applyAlignment="1" applyProtection="1">
      <alignment horizontal="center" shrinkToFit="1"/>
      <protection locked="0"/>
    </xf>
    <xf numFmtId="0" fontId="7" fillId="10" borderId="18" xfId="54" applyFont="1" applyFill="1" applyBorder="1" applyAlignment="1" applyProtection="1">
      <alignment horizontal="center" vertical="center" shrinkToFit="1"/>
      <protection locked="0"/>
    </xf>
    <xf numFmtId="0" fontId="7" fillId="10" borderId="18" xfId="54" applyFont="1" applyFill="1" applyBorder="1" applyAlignment="1" applyProtection="1">
      <alignment horizontal="center" shrinkToFit="1"/>
      <protection locked="0"/>
    </xf>
    <xf numFmtId="0" fontId="14" fillId="10" borderId="15" xfId="54" applyFont="1" applyFill="1" applyBorder="1" applyAlignment="1" applyProtection="1">
      <alignment shrinkToFit="1"/>
      <protection locked="0"/>
    </xf>
    <xf numFmtId="0" fontId="14" fillId="10" borderId="19" xfId="54" applyFont="1" applyFill="1" applyBorder="1" applyAlignment="1" applyProtection="1">
      <alignment shrinkToFit="1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15" fillId="43" borderId="31" xfId="0" applyFont="1" applyFill="1" applyBorder="1" applyAlignment="1">
      <alignment horizontal="center" vertical="center" shrinkToFit="1"/>
    </xf>
    <xf numFmtId="0" fontId="3" fillId="1" borderId="11" xfId="0" applyFont="1" applyFill="1" applyBorder="1" applyAlignment="1">
      <alignment horizontal="center" vertical="center" shrinkToFit="1"/>
    </xf>
    <xf numFmtId="0" fontId="2" fillId="1" borderId="11" xfId="0" applyFont="1" applyFill="1" applyBorder="1" applyAlignment="1">
      <alignment horizontal="center" vertical="center" shrinkToFit="1"/>
    </xf>
    <xf numFmtId="0" fontId="2" fillId="43" borderId="31" xfId="0" applyFont="1" applyFill="1" applyBorder="1" applyAlignment="1">
      <alignment horizontal="center" vertical="center" shrinkToFit="1"/>
    </xf>
    <xf numFmtId="20" fontId="16" fillId="0" borderId="11" xfId="0" applyNumberFormat="1" applyFont="1" applyBorder="1" applyAlignment="1" applyProtection="1">
      <alignment horizontal="center" vertical="center" shrinkToFit="1"/>
      <protection locked="0"/>
    </xf>
    <xf numFmtId="20" fontId="3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44" borderId="11" xfId="0" applyFont="1" applyFill="1" applyBorder="1" applyAlignment="1">
      <alignment horizontal="center" vertical="center" shrinkToFit="1"/>
    </xf>
    <xf numFmtId="0" fontId="0" fillId="44" borderId="31" xfId="0" applyFill="1" applyBorder="1" applyAlignment="1">
      <alignment horizontal="center" vertical="center" shrinkToFit="1"/>
    </xf>
    <xf numFmtId="0" fontId="3" fillId="44" borderId="11" xfId="0" applyFont="1" applyFill="1" applyBorder="1" applyAlignment="1" applyProtection="1">
      <alignment horizontal="center" vertical="center" shrinkToFit="1"/>
      <protection locked="0"/>
    </xf>
    <xf numFmtId="0" fontId="3" fillId="45" borderId="11" xfId="0" applyFont="1" applyFill="1" applyBorder="1" applyAlignment="1">
      <alignment horizontal="center" vertical="center" shrinkToFit="1"/>
    </xf>
    <xf numFmtId="0" fontId="0" fillId="45" borderId="31" xfId="0" applyFill="1" applyBorder="1" applyAlignment="1">
      <alignment horizontal="center" vertical="center" shrinkToFit="1"/>
    </xf>
    <xf numFmtId="0" fontId="3" fillId="45" borderId="11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20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45" borderId="31" xfId="0" applyFill="1" applyBorder="1" applyAlignment="1" applyProtection="1">
      <alignment horizontal="center" vertical="center" shrinkToFit="1"/>
      <protection locked="0"/>
    </xf>
    <xf numFmtId="0" fontId="0" fillId="44" borderId="31" xfId="0" applyFill="1" applyBorder="1" applyAlignment="1" applyProtection="1">
      <alignment horizontal="center" vertical="center" shrinkToFit="1"/>
      <protection locked="0"/>
    </xf>
    <xf numFmtId="0" fontId="17" fillId="45" borderId="11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19" fillId="1" borderId="11" xfId="0" applyFont="1" applyFill="1" applyBorder="1" applyAlignment="1">
      <alignment horizontal="center" vertical="center" shrinkToFit="1"/>
    </xf>
    <xf numFmtId="0" fontId="16" fillId="46" borderId="11" xfId="0" applyFont="1" applyFill="1" applyBorder="1" applyAlignment="1" applyProtection="1">
      <alignment horizontal="center" vertical="center" shrinkToFit="1"/>
      <protection locked="0"/>
    </xf>
    <xf numFmtId="0" fontId="16" fillId="41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41" borderId="34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176" fontId="3" fillId="45" borderId="11" xfId="0" applyNumberFormat="1" applyFont="1" applyFill="1" applyBorder="1" applyAlignment="1">
      <alignment horizontal="center" vertical="center" shrinkToFit="1"/>
    </xf>
    <xf numFmtId="0" fontId="3" fillId="45" borderId="35" xfId="0" applyFont="1" applyFill="1" applyBorder="1" applyAlignment="1">
      <alignment horizontal="center" vertical="center" shrinkToFit="1"/>
    </xf>
    <xf numFmtId="0" fontId="17" fillId="46" borderId="11" xfId="0" applyFont="1" applyFill="1" applyBorder="1" applyAlignment="1" applyProtection="1">
      <alignment horizontal="center" vertical="center" shrinkToFit="1"/>
      <protection locked="0"/>
    </xf>
    <xf numFmtId="0" fontId="17" fillId="41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46" borderId="33" xfId="0" applyFont="1" applyFill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46" borderId="0" xfId="0" applyFont="1" applyFill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176" fontId="3" fillId="45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45" borderId="35" xfId="0" applyFont="1" applyFill="1" applyBorder="1" applyAlignment="1" applyProtection="1">
      <alignment horizontal="center" vertical="center" shrinkToFit="1"/>
      <protection locked="0"/>
    </xf>
    <xf numFmtId="176" fontId="17" fillId="45" borderId="11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0" xfId="0" applyNumberFormat="1" applyAlignment="1">
      <alignment/>
    </xf>
    <xf numFmtId="0" fontId="0" fillId="0" borderId="33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0" fillId="41" borderId="31" xfId="0" applyFont="1" applyFill="1" applyBorder="1" applyAlignment="1">
      <alignment horizontal="center" vertical="center" shrinkToFit="1"/>
    </xf>
    <xf numFmtId="0" fontId="3" fillId="47" borderId="11" xfId="0" applyFont="1" applyFill="1" applyBorder="1" applyAlignment="1">
      <alignment horizontal="center" vertical="center" shrinkToFit="1"/>
    </xf>
    <xf numFmtId="0" fontId="0" fillId="47" borderId="31" xfId="0" applyFill="1" applyBorder="1" applyAlignment="1">
      <alignment horizontal="center" vertical="center" shrinkToFit="1"/>
    </xf>
    <xf numFmtId="0" fontId="3" fillId="47" borderId="11" xfId="0" applyFont="1" applyFill="1" applyBorder="1" applyAlignment="1" applyProtection="1">
      <alignment horizontal="center" vertical="center" shrinkToFit="1"/>
      <protection locked="0"/>
    </xf>
    <xf numFmtId="177" fontId="0" fillId="0" borderId="0" xfId="0" applyNumberFormat="1" applyAlignment="1">
      <alignment horizontal="center" vertical="center" shrinkToFit="1"/>
    </xf>
    <xf numFmtId="0" fontId="17" fillId="45" borderId="11" xfId="0" applyFont="1" applyFill="1" applyBorder="1" applyAlignment="1">
      <alignment horizontal="center" vertical="center" shrinkToFit="1"/>
    </xf>
    <xf numFmtId="0" fontId="20" fillId="43" borderId="31" xfId="0" applyFont="1" applyFill="1" applyBorder="1" applyAlignment="1">
      <alignment horizontal="center" vertical="center" shrinkToFit="1"/>
    </xf>
    <xf numFmtId="0" fontId="21" fillId="46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46" borderId="0" xfId="0" applyNumberFormat="1" applyFont="1" applyFill="1" applyAlignment="1" applyProtection="1">
      <alignment horizontal="center" vertical="center" shrinkToFit="1"/>
      <protection locked="0"/>
    </xf>
    <xf numFmtId="0" fontId="22" fillId="46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46" borderId="0" xfId="0" applyNumberFormat="1" applyFont="1" applyFill="1" applyAlignment="1" applyProtection="1">
      <alignment horizontal="center" vertical="center" shrinkToFit="1"/>
      <protection locked="0"/>
    </xf>
    <xf numFmtId="0" fontId="16" fillId="46" borderId="33" xfId="0" applyNumberFormat="1" applyFont="1" applyFill="1" applyBorder="1" applyAlignment="1" applyProtection="1">
      <alignment horizontal="center" vertical="center" shrinkToFit="1"/>
      <protection locked="0"/>
    </xf>
    <xf numFmtId="0" fontId="16" fillId="46" borderId="0" xfId="0" applyNumberFormat="1" applyFont="1" applyFill="1" applyAlignment="1" applyProtection="1">
      <alignment horizontal="center" vertical="center" shrinkToFit="1"/>
      <protection locked="0"/>
    </xf>
    <xf numFmtId="0" fontId="16" fillId="0" borderId="0" xfId="0" applyNumberFormat="1" applyFont="1" applyAlignment="1" applyProtection="1">
      <alignment horizontal="center" vertical="center" shrinkToFit="1"/>
      <protection locked="0"/>
    </xf>
    <xf numFmtId="176" fontId="17" fillId="45" borderId="1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41" borderId="33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54" applyAlignment="1">
      <alignment horizontal="left"/>
      <protection/>
    </xf>
    <xf numFmtId="0" fontId="0" fillId="0" borderId="0" xfId="54" applyAlignment="1">
      <alignment horizontal="left" wrapText="1"/>
      <protection/>
    </xf>
    <xf numFmtId="0" fontId="0" fillId="0" borderId="0" xfId="54" applyAlignment="1">
      <alignment wrapText="1"/>
      <protection/>
    </xf>
    <xf numFmtId="0" fontId="2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wrapText="1"/>
      <protection/>
    </xf>
    <xf numFmtId="0" fontId="2" fillId="0" borderId="10" xfId="54" applyFont="1" applyBorder="1" applyAlignment="1" applyProtection="1">
      <alignment wrapText="1"/>
      <protection locked="0"/>
    </xf>
    <xf numFmtId="0" fontId="2" fillId="0" borderId="10" xfId="55" applyFont="1" applyBorder="1" applyAlignment="1">
      <alignment wrapText="1"/>
      <protection/>
    </xf>
    <xf numFmtId="0" fontId="2" fillId="0" borderId="10" xfId="55" applyFont="1" applyBorder="1" applyAlignment="1" applyProtection="1">
      <alignment wrapText="1"/>
      <protection locked="0"/>
    </xf>
    <xf numFmtId="0" fontId="0" fillId="0" borderId="0" xfId="55" applyAlignment="1">
      <alignment horizontal="center" vertical="center"/>
      <protection/>
    </xf>
    <xf numFmtId="20" fontId="2" fillId="0" borderId="10" xfId="54" applyNumberFormat="1" applyFont="1" applyBorder="1" applyAlignment="1" applyProtection="1">
      <alignment wrapText="1"/>
      <protection locked="0"/>
    </xf>
    <xf numFmtId="0" fontId="2" fillId="0" borderId="0" xfId="54" applyFont="1" applyAlignment="1">
      <alignment horizontal="left" wrapText="1"/>
      <protection/>
    </xf>
    <xf numFmtId="0" fontId="2" fillId="0" borderId="0" xfId="54" applyFont="1" applyAlignment="1">
      <alignment wrapText="1"/>
      <protection/>
    </xf>
    <xf numFmtId="0" fontId="2" fillId="0" borderId="0" xfId="54" applyFont="1">
      <alignment/>
      <protection/>
    </xf>
    <xf numFmtId="0" fontId="2" fillId="10" borderId="10" xfId="54" applyFont="1" applyFill="1" applyBorder="1" applyAlignment="1">
      <alignment horizontal="center" wrapText="1"/>
      <protection/>
    </xf>
    <xf numFmtId="0" fontId="2" fillId="10" borderId="10" xfId="54" applyFont="1" applyFill="1" applyBorder="1" applyAlignment="1" applyProtection="1">
      <alignment wrapText="1"/>
      <protection locked="0"/>
    </xf>
    <xf numFmtId="0" fontId="7" fillId="0" borderId="0" xfId="54" applyFont="1" applyFill="1" applyAlignment="1" applyProtection="1">
      <alignment wrapText="1"/>
      <protection locked="0"/>
    </xf>
    <xf numFmtId="0" fontId="2" fillId="10" borderId="10" xfId="54" applyFont="1" applyFill="1" applyBorder="1" applyProtection="1">
      <alignment/>
      <protection locked="0"/>
    </xf>
    <xf numFmtId="0" fontId="7" fillId="0" borderId="0" xfId="54" applyFont="1" applyFill="1" applyProtection="1">
      <alignment/>
      <protection locked="0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34" borderId="10" xfId="54" applyFont="1" applyFill="1" applyBorder="1" applyAlignment="1">
      <alignment horizontal="center" wrapText="1"/>
      <protection/>
    </xf>
    <xf numFmtId="0" fontId="2" fillId="34" borderId="10" xfId="54" applyFont="1" applyFill="1" applyBorder="1" applyAlignment="1" applyProtection="1">
      <alignment wrapText="1"/>
      <protection locked="0"/>
    </xf>
    <xf numFmtId="0" fontId="7" fillId="0" borderId="0" xfId="55" applyFont="1" applyFill="1" applyBorder="1" applyAlignment="1">
      <alignment horizontal="left"/>
      <protection/>
    </xf>
    <xf numFmtId="0" fontId="2" fillId="34" borderId="10" xfId="55" applyFont="1" applyFill="1" applyBorder="1" applyAlignment="1">
      <alignment horizontal="left"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>
      <alignment/>
      <protection/>
    </xf>
    <xf numFmtId="0" fontId="7" fillId="0" borderId="10" xfId="55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wrapText="1"/>
      <protection/>
    </xf>
    <xf numFmtId="0" fontId="2" fillId="0" borderId="12" xfId="55" applyFont="1" applyBorder="1" applyAlignment="1">
      <alignment horizontal="center"/>
      <protection/>
    </xf>
    <xf numFmtId="0" fontId="2" fillId="0" borderId="36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2" fillId="0" borderId="28" xfId="55" applyFont="1" applyBorder="1" applyAlignment="1">
      <alignment horizontal="center" vertical="center" wrapText="1"/>
      <protection/>
    </xf>
    <xf numFmtId="0" fontId="2" fillId="0" borderId="37" xfId="55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5" fillId="48" borderId="38" xfId="0" applyFont="1" applyFill="1" applyBorder="1" applyAlignment="1">
      <alignment horizontal="center" vertical="center" shrinkToFit="1"/>
    </xf>
    <xf numFmtId="0" fontId="15" fillId="48" borderId="34" xfId="0" applyFont="1" applyFill="1" applyBorder="1" applyAlignment="1">
      <alignment horizontal="center" vertical="center" shrinkToFit="1"/>
    </xf>
    <xf numFmtId="0" fontId="18" fillId="48" borderId="38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9" fillId="1" borderId="38" xfId="0" applyFont="1" applyFill="1" applyBorder="1" applyAlignment="1">
      <alignment horizontal="center" vertical="center" shrinkToFit="1"/>
    </xf>
    <xf numFmtId="0" fontId="2" fillId="1" borderId="34" xfId="0" applyFont="1" applyFill="1" applyBorder="1" applyAlignment="1">
      <alignment horizontal="center" vertical="center" shrinkToFit="1"/>
    </xf>
    <xf numFmtId="0" fontId="15" fillId="48" borderId="40" xfId="0" applyFont="1" applyFill="1" applyBorder="1" applyAlignment="1">
      <alignment horizontal="center" vertical="center" shrinkToFit="1"/>
    </xf>
    <xf numFmtId="0" fontId="15" fillId="48" borderId="0" xfId="0" applyFont="1" applyFill="1" applyBorder="1" applyAlignment="1">
      <alignment horizontal="center" vertical="center" shrinkToFit="1"/>
    </xf>
    <xf numFmtId="0" fontId="15" fillId="48" borderId="30" xfId="0" applyFont="1" applyFill="1" applyBorder="1" applyAlignment="1">
      <alignment horizontal="center" vertical="center" shrinkToFit="1"/>
    </xf>
    <xf numFmtId="0" fontId="15" fillId="48" borderId="40" xfId="0" applyFont="1" applyFill="1" applyBorder="1" applyAlignment="1" applyProtection="1">
      <alignment horizontal="center" vertical="center" shrinkToFit="1"/>
      <protection locked="0"/>
    </xf>
    <xf numFmtId="0" fontId="15" fillId="48" borderId="0" xfId="0" applyFont="1" applyFill="1" applyBorder="1" applyAlignment="1" applyProtection="1">
      <alignment horizontal="center" vertical="center" shrinkToFit="1"/>
      <protection locked="0"/>
    </xf>
    <xf numFmtId="0" fontId="15" fillId="48" borderId="30" xfId="0" applyFont="1" applyFill="1" applyBorder="1" applyAlignment="1" applyProtection="1">
      <alignment horizontal="center" vertical="center" shrinkToFit="1"/>
      <protection locked="0"/>
    </xf>
    <xf numFmtId="0" fontId="15" fillId="48" borderId="41" xfId="0" applyFont="1" applyFill="1" applyBorder="1" applyAlignment="1" applyProtection="1">
      <alignment horizontal="center" vertical="center" shrinkToFit="1"/>
      <protection locked="0"/>
    </xf>
    <xf numFmtId="0" fontId="15" fillId="48" borderId="29" xfId="0" applyFont="1" applyFill="1" applyBorder="1" applyAlignment="1" applyProtection="1">
      <alignment horizontal="center" vertical="center" shrinkToFit="1"/>
      <protection locked="0"/>
    </xf>
    <xf numFmtId="0" fontId="15" fillId="48" borderId="42" xfId="0" applyFont="1" applyFill="1" applyBorder="1" applyAlignment="1" applyProtection="1">
      <alignment horizontal="center" vertical="center" shrinkToFit="1"/>
      <protection locked="0"/>
    </xf>
    <xf numFmtId="0" fontId="6" fillId="0" borderId="12" xfId="54" applyFont="1" applyBorder="1" applyAlignment="1" applyProtection="1">
      <alignment horizontal="center" vertical="center"/>
      <protection/>
    </xf>
    <xf numFmtId="0" fontId="6" fillId="0" borderId="36" xfId="54" applyFont="1" applyBorder="1" applyAlignment="1" applyProtection="1">
      <alignment horizontal="center" vertical="center"/>
      <protection/>
    </xf>
    <xf numFmtId="0" fontId="6" fillId="0" borderId="13" xfId="54" applyFont="1" applyBorder="1" applyAlignment="1" applyProtection="1">
      <alignment horizontal="center" vertical="center"/>
      <protection/>
    </xf>
    <xf numFmtId="0" fontId="2" fillId="0" borderId="0" xfId="54" applyFont="1" applyAlignment="1" applyProtection="1">
      <alignment horizontal="center" vertical="center"/>
      <protection/>
    </xf>
    <xf numFmtId="0" fontId="6" fillId="0" borderId="10" xfId="54" applyFont="1" applyBorder="1" applyAlignment="1" applyProtection="1">
      <alignment horizontal="center" vertical="center"/>
      <protection/>
    </xf>
    <xf numFmtId="0" fontId="12" fillId="0" borderId="0" xfId="54" applyFont="1" applyAlignment="1" applyProtection="1">
      <alignment horizontal="center" vertical="center"/>
      <protection/>
    </xf>
    <xf numFmtId="0" fontId="7" fillId="0" borderId="0" xfId="54" applyFont="1" applyBorder="1" applyAlignment="1" applyProtection="1">
      <alignment horizontal="center"/>
      <protection/>
    </xf>
    <xf numFmtId="1" fontId="7" fillId="0" borderId="25" xfId="54" applyNumberFormat="1" applyFont="1" applyFill="1" applyBorder="1" applyAlignment="1" applyProtection="1">
      <alignment horizontal="center"/>
      <protection/>
    </xf>
    <xf numFmtId="1" fontId="7" fillId="0" borderId="10" xfId="54" applyNumberFormat="1" applyFont="1" applyFill="1" applyBorder="1" applyAlignment="1" applyProtection="1">
      <alignment horizontal="center"/>
      <protection/>
    </xf>
    <xf numFmtId="1" fontId="7" fillId="0" borderId="26" xfId="54" applyNumberFormat="1" applyFont="1" applyFill="1" applyBorder="1" applyAlignment="1" applyProtection="1">
      <alignment horizontal="center"/>
      <protection/>
    </xf>
    <xf numFmtId="0" fontId="7" fillId="0" borderId="12" xfId="54" applyFont="1" applyBorder="1" applyAlignment="1" applyProtection="1">
      <alignment horizontal="center"/>
      <protection/>
    </xf>
    <xf numFmtId="0" fontId="7" fillId="0" borderId="36" xfId="54" applyFont="1" applyBorder="1" applyAlignment="1" applyProtection="1">
      <alignment horizontal="center"/>
      <protection/>
    </xf>
    <xf numFmtId="0" fontId="7" fillId="0" borderId="13" xfId="54" applyFont="1" applyBorder="1" applyAlignment="1" applyProtection="1">
      <alignment horizontal="center"/>
      <protection/>
    </xf>
    <xf numFmtId="0" fontId="0" fillId="10" borderId="14" xfId="54" applyFont="1" applyFill="1" applyBorder="1" applyAlignment="1" applyProtection="1">
      <alignment horizontal="center" vertical="center" shrinkToFit="1"/>
      <protection/>
    </xf>
    <xf numFmtId="0" fontId="0" fillId="10" borderId="25" xfId="54" applyFont="1" applyFill="1" applyBorder="1" applyAlignment="1" applyProtection="1">
      <alignment horizontal="center" vertical="center" shrinkToFit="1"/>
      <protection/>
    </xf>
    <xf numFmtId="0" fontId="14" fillId="10" borderId="25" xfId="54" applyFont="1" applyFill="1" applyBorder="1" applyAlignment="1" applyProtection="1">
      <alignment horizontal="center" vertical="center" shrinkToFit="1"/>
      <protection locked="0"/>
    </xf>
    <xf numFmtId="0" fontId="0" fillId="10" borderId="18" xfId="54" applyFont="1" applyFill="1" applyBorder="1" applyAlignment="1" applyProtection="1">
      <alignment horizontal="center" vertical="center" shrinkToFit="1"/>
      <protection/>
    </xf>
    <xf numFmtId="0" fontId="0" fillId="10" borderId="26" xfId="54" applyFont="1" applyFill="1" applyBorder="1" applyAlignment="1" applyProtection="1">
      <alignment horizontal="center" vertical="center" shrinkToFit="1"/>
      <protection/>
    </xf>
    <xf numFmtId="0" fontId="14" fillId="10" borderId="26" xfId="54" applyFont="1" applyFill="1" applyBorder="1" applyAlignment="1" applyProtection="1">
      <alignment horizontal="center" vertical="center" shrinkToFit="1"/>
      <protection locked="0"/>
    </xf>
    <xf numFmtId="0" fontId="14" fillId="0" borderId="12" xfId="54" applyFont="1" applyBorder="1" applyAlignment="1" applyProtection="1">
      <alignment horizontal="center"/>
      <protection/>
    </xf>
    <xf numFmtId="0" fontId="14" fillId="0" borderId="36" xfId="54" applyFont="1" applyBorder="1" applyAlignment="1" applyProtection="1">
      <alignment horizontal="center"/>
      <protection/>
    </xf>
    <xf numFmtId="0" fontId="14" fillId="0" borderId="13" xfId="54" applyFont="1" applyBorder="1" applyAlignment="1" applyProtection="1">
      <alignment horizontal="center"/>
      <protection/>
    </xf>
    <xf numFmtId="0" fontId="14" fillId="10" borderId="25" xfId="54" applyFont="1" applyFill="1" applyBorder="1" applyAlignment="1" applyProtection="1">
      <alignment horizontal="center" shrinkToFit="1"/>
      <protection locked="0"/>
    </xf>
    <xf numFmtId="0" fontId="14" fillId="10" borderId="26" xfId="54" applyFont="1" applyFill="1" applyBorder="1" applyAlignment="1" applyProtection="1">
      <alignment horizontal="center" shrinkToFit="1"/>
      <protection locked="0"/>
    </xf>
    <xf numFmtId="0" fontId="14" fillId="40" borderId="25" xfId="54" applyFont="1" applyFill="1" applyBorder="1" applyAlignment="1" applyProtection="1">
      <alignment horizontal="center" vertical="center" shrinkToFit="1"/>
      <protection locked="0"/>
    </xf>
    <xf numFmtId="0" fontId="14" fillId="40" borderId="26" xfId="54" applyFont="1" applyFill="1" applyBorder="1" applyAlignment="1" applyProtection="1">
      <alignment horizontal="center" vertical="center" shrinkToFit="1"/>
      <protection locked="0"/>
    </xf>
    <xf numFmtId="0" fontId="14" fillId="0" borderId="0" xfId="54" applyFont="1" applyAlignment="1" applyProtection="1">
      <alignment horizontal="center"/>
      <protection/>
    </xf>
    <xf numFmtId="0" fontId="14" fillId="0" borderId="0" xfId="54" applyFont="1" applyBorder="1" applyAlignment="1" applyProtection="1">
      <alignment horizontal="center"/>
      <protection locked="0"/>
    </xf>
    <xf numFmtId="0" fontId="14" fillId="0" borderId="43" xfId="54" applyFont="1" applyBorder="1" applyAlignment="1" applyProtection="1">
      <alignment horizontal="center"/>
      <protection locked="0"/>
    </xf>
    <xf numFmtId="0" fontId="7" fillId="0" borderId="25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horizontal="center"/>
      <protection/>
    </xf>
    <xf numFmtId="0" fontId="7" fillId="0" borderId="26" xfId="54" applyFont="1" applyFill="1" applyBorder="1" applyAlignment="1" applyProtection="1">
      <alignment horizontal="center"/>
      <protection/>
    </xf>
    <xf numFmtId="0" fontId="14" fillId="42" borderId="25" xfId="54" applyFont="1" applyFill="1" applyBorder="1" applyAlignment="1" applyProtection="1">
      <alignment horizontal="center" vertical="center" shrinkToFit="1"/>
      <protection locked="0"/>
    </xf>
    <xf numFmtId="0" fontId="14" fillId="42" borderId="26" xfId="54" applyFont="1" applyFill="1" applyBorder="1" applyAlignment="1" applyProtection="1">
      <alignment horizontal="center" vertical="center" shrinkToFit="1"/>
      <protection locked="0"/>
    </xf>
    <xf numFmtId="0" fontId="2" fillId="0" borderId="44" xfId="54" applyFont="1" applyBorder="1" applyAlignment="1">
      <alignment horizontal="center" vertical="center" textRotation="90"/>
      <protection/>
    </xf>
    <xf numFmtId="0" fontId="2" fillId="0" borderId="45" xfId="54" applyFont="1" applyBorder="1" applyAlignment="1">
      <alignment horizontal="center" vertical="center" textRotation="90"/>
      <protection/>
    </xf>
    <xf numFmtId="0" fontId="2" fillId="0" borderId="46" xfId="54" applyFont="1" applyBorder="1" applyAlignment="1">
      <alignment horizontal="center" vertical="center" textRotation="90"/>
      <protection/>
    </xf>
    <xf numFmtId="0" fontId="10" fillId="0" borderId="44" xfId="54" applyFont="1" applyBorder="1" applyAlignment="1">
      <alignment horizontal="center" vertical="center" textRotation="90"/>
      <protection/>
    </xf>
    <xf numFmtId="0" fontId="10" fillId="0" borderId="45" xfId="54" applyFont="1" applyBorder="1" applyAlignment="1">
      <alignment horizontal="center" vertical="center" textRotation="90"/>
      <protection/>
    </xf>
    <xf numFmtId="0" fontId="10" fillId="0" borderId="46" xfId="54" applyFont="1" applyBorder="1" applyAlignment="1">
      <alignment horizontal="center" vertical="center" textRotation="90"/>
      <protection/>
    </xf>
    <xf numFmtId="0" fontId="6" fillId="0" borderId="47" xfId="55" applyFont="1" applyBorder="1" applyAlignment="1" applyProtection="1">
      <alignment horizontal="center" vertical="center"/>
      <protection/>
    </xf>
    <xf numFmtId="0" fontId="6" fillId="0" borderId="48" xfId="55" applyFont="1" applyBorder="1" applyAlignment="1" applyProtection="1">
      <alignment horizontal="center" vertical="center"/>
      <protection/>
    </xf>
    <xf numFmtId="0" fontId="6" fillId="0" borderId="49" xfId="55" applyFont="1" applyBorder="1" applyAlignment="1" applyProtection="1">
      <alignment horizontal="center" vertical="center"/>
      <protection/>
    </xf>
    <xf numFmtId="0" fontId="6" fillId="0" borderId="50" xfId="55" applyFont="1" applyBorder="1" applyAlignment="1" applyProtection="1">
      <alignment horizontal="center" vertical="center"/>
      <protection/>
    </xf>
    <xf numFmtId="0" fontId="6" fillId="0" borderId="51" xfId="55" applyFont="1" applyBorder="1" applyAlignment="1" applyProtection="1">
      <alignment horizontal="center" vertical="center"/>
      <protection/>
    </xf>
    <xf numFmtId="0" fontId="2" fillId="32" borderId="0" xfId="54" applyFont="1" applyFill="1" applyAlignment="1">
      <alignment vertical="center" wrapText="1"/>
      <protection/>
    </xf>
    <xf numFmtId="0" fontId="3" fillId="32" borderId="0" xfId="54" applyFont="1" applyFill="1" applyAlignment="1">
      <alignment horizontal="center" vertical="center"/>
      <protection/>
    </xf>
    <xf numFmtId="0" fontId="4" fillId="0" borderId="0" xfId="54" applyFont="1" applyAlignment="1">
      <alignment vertical="center" wrapText="1"/>
      <protection/>
    </xf>
    <xf numFmtId="0" fontId="4" fillId="0" borderId="52" xfId="54" applyFont="1" applyBorder="1" applyAlignment="1">
      <alignment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1">
    <dxf>
      <font>
        <b val="0"/>
        <i val="0"/>
        <u val="none"/>
        <strike val="0"/>
        <sz val="10"/>
        <name val="Arial"/>
        <color theme="8" tint="0.7999799847602844"/>
      </font>
    </dxf>
    <dxf>
      <font>
        <b val="0"/>
        <color indexed="27"/>
      </font>
    </dxf>
    <dxf>
      <font>
        <b val="0"/>
        <i val="0"/>
        <u val="none"/>
        <strike val="0"/>
        <sz val="10"/>
        <name val="Arial"/>
        <color theme="0"/>
      </font>
    </dxf>
    <dxf>
      <font>
        <b val="0"/>
        <i val="0"/>
        <u val="none"/>
        <strike val="0"/>
        <sz val="10"/>
        <name val="Arial"/>
        <color theme="8" tint="0.7999799847602844"/>
      </font>
    </dxf>
    <dxf>
      <font>
        <b val="0"/>
        <color indexed="27"/>
      </font>
    </dxf>
    <dxf>
      <font>
        <b val="0"/>
        <i val="0"/>
        <u val="none"/>
        <strike val="0"/>
        <sz val="10"/>
        <name val="Arial"/>
        <color theme="0"/>
      </font>
    </dxf>
    <dxf>
      <font>
        <b val="0"/>
        <color indexed="27"/>
      </font>
    </dxf>
    <dxf>
      <font>
        <b val="0"/>
        <i val="0"/>
        <u val="none"/>
        <strike val="0"/>
        <sz val="10"/>
        <name val="Arial"/>
        <color theme="8" tint="0.7999799847602844"/>
      </font>
    </dxf>
    <dxf>
      <font>
        <b val="0"/>
        <color indexed="9"/>
      </font>
    </dxf>
    <dxf>
      <font>
        <b val="0"/>
        <i val="0"/>
        <u val="none"/>
        <strike val="0"/>
        <sz val="10"/>
        <color rgb="FFFFFFFF"/>
      </font>
      <border/>
    </dxf>
    <dxf>
      <font>
        <b val="0"/>
        <i val="0"/>
        <u val="none"/>
        <strike val="0"/>
        <sz val="10"/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2</xdr:col>
      <xdr:colOff>123825</xdr:colOff>
      <xdr:row>2</xdr:row>
      <xdr:rowOff>266700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2</xdr:col>
      <xdr:colOff>19050</xdr:colOff>
      <xdr:row>2</xdr:row>
      <xdr:rowOff>209550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104775</xdr:rowOff>
    </xdr:from>
    <xdr:to>
      <xdr:col>2</xdr:col>
      <xdr:colOff>1266825</xdr:colOff>
      <xdr:row>0</xdr:row>
      <xdr:rowOff>981075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142875</xdr:rowOff>
    </xdr:from>
    <xdr:to>
      <xdr:col>2</xdr:col>
      <xdr:colOff>1466850</xdr:colOff>
      <xdr:row>0</xdr:row>
      <xdr:rowOff>1019175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42875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180975</xdr:rowOff>
    </xdr:from>
    <xdr:to>
      <xdr:col>2</xdr:col>
      <xdr:colOff>1266825</xdr:colOff>
      <xdr:row>0</xdr:row>
      <xdr:rowOff>1057275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80975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0</xdr:col>
      <xdr:colOff>1552575</xdr:colOff>
      <xdr:row>2</xdr:row>
      <xdr:rowOff>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0</xdr:rowOff>
    </xdr:from>
    <xdr:to>
      <xdr:col>3</xdr:col>
      <xdr:colOff>619125</xdr:colOff>
      <xdr:row>6</xdr:row>
      <xdr:rowOff>38100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61925"/>
          <a:ext cx="1228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8</xdr:row>
      <xdr:rowOff>85725</xdr:rowOff>
    </xdr:from>
    <xdr:to>
      <xdr:col>12</xdr:col>
      <xdr:colOff>542925</xdr:colOff>
      <xdr:row>13</xdr:row>
      <xdr:rowOff>95250</xdr:rowOff>
    </xdr:to>
    <xdr:sp>
      <xdr:nvSpPr>
        <xdr:cNvPr id="1" name="Forme libre 159"/>
        <xdr:cNvSpPr>
          <a:spLocks/>
        </xdr:cNvSpPr>
      </xdr:nvSpPr>
      <xdr:spPr>
        <a:xfrm>
          <a:off x="7324725" y="1781175"/>
          <a:ext cx="1600200" cy="962025"/>
        </a:xfrm>
        <a:custGeom>
          <a:pathLst>
            <a:path h="1057275" w="1600200">
              <a:moveTo>
                <a:pt x="0" y="9525"/>
              </a:moveTo>
              <a:lnTo>
                <a:pt x="933450" y="0"/>
              </a:lnTo>
              <a:lnTo>
                <a:pt x="1466850" y="1057275"/>
              </a:lnTo>
              <a:lnTo>
                <a:pt x="1600200" y="1057275"/>
              </a:lnTo>
            </a:path>
          </a:pathLst>
        </a:custGeom>
        <a:noFill/>
        <a:ln w="19050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</xdr:row>
      <xdr:rowOff>66675</xdr:rowOff>
    </xdr:from>
    <xdr:to>
      <xdr:col>2</xdr:col>
      <xdr:colOff>714375</xdr:colOff>
      <xdr:row>8</xdr:row>
      <xdr:rowOff>76200</xdr:rowOff>
    </xdr:to>
    <xdr:sp>
      <xdr:nvSpPr>
        <xdr:cNvPr id="2" name="Line 31"/>
        <xdr:cNvSpPr>
          <a:spLocks/>
        </xdr:cNvSpPr>
      </xdr:nvSpPr>
      <xdr:spPr>
        <a:xfrm flipV="1">
          <a:off x="1628775" y="17621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66675</xdr:rowOff>
    </xdr:from>
    <xdr:to>
      <xdr:col>2</xdr:col>
      <xdr:colOff>714375</xdr:colOff>
      <xdr:row>9</xdr:row>
      <xdr:rowOff>76200</xdr:rowOff>
    </xdr:to>
    <xdr:sp>
      <xdr:nvSpPr>
        <xdr:cNvPr id="3" name="Line 32"/>
        <xdr:cNvSpPr>
          <a:spLocks/>
        </xdr:cNvSpPr>
      </xdr:nvSpPr>
      <xdr:spPr>
        <a:xfrm flipV="1">
          <a:off x="1628775" y="19526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66675</xdr:rowOff>
    </xdr:from>
    <xdr:to>
      <xdr:col>2</xdr:col>
      <xdr:colOff>714375</xdr:colOff>
      <xdr:row>10</xdr:row>
      <xdr:rowOff>76200</xdr:rowOff>
    </xdr:to>
    <xdr:sp>
      <xdr:nvSpPr>
        <xdr:cNvPr id="4" name="Line 33"/>
        <xdr:cNvSpPr>
          <a:spLocks/>
        </xdr:cNvSpPr>
      </xdr:nvSpPr>
      <xdr:spPr>
        <a:xfrm flipV="1">
          <a:off x="1628775" y="21431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66675</xdr:rowOff>
    </xdr:from>
    <xdr:to>
      <xdr:col>2</xdr:col>
      <xdr:colOff>714375</xdr:colOff>
      <xdr:row>11</xdr:row>
      <xdr:rowOff>76200</xdr:rowOff>
    </xdr:to>
    <xdr:sp>
      <xdr:nvSpPr>
        <xdr:cNvPr id="5" name="Line 34"/>
        <xdr:cNvSpPr>
          <a:spLocks/>
        </xdr:cNvSpPr>
      </xdr:nvSpPr>
      <xdr:spPr>
        <a:xfrm flipV="1">
          <a:off x="1628775" y="23336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66675</xdr:rowOff>
    </xdr:from>
    <xdr:to>
      <xdr:col>2</xdr:col>
      <xdr:colOff>714375</xdr:colOff>
      <xdr:row>12</xdr:row>
      <xdr:rowOff>76200</xdr:rowOff>
    </xdr:to>
    <xdr:sp>
      <xdr:nvSpPr>
        <xdr:cNvPr id="6" name="Line 35"/>
        <xdr:cNvSpPr>
          <a:spLocks/>
        </xdr:cNvSpPr>
      </xdr:nvSpPr>
      <xdr:spPr>
        <a:xfrm flipV="1">
          <a:off x="1628775" y="25241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85725</xdr:rowOff>
    </xdr:from>
    <xdr:to>
      <xdr:col>2</xdr:col>
      <xdr:colOff>695325</xdr:colOff>
      <xdr:row>13</xdr:row>
      <xdr:rowOff>95250</xdr:rowOff>
    </xdr:to>
    <xdr:sp>
      <xdr:nvSpPr>
        <xdr:cNvPr id="7" name="Line 36"/>
        <xdr:cNvSpPr>
          <a:spLocks/>
        </xdr:cNvSpPr>
      </xdr:nvSpPr>
      <xdr:spPr>
        <a:xfrm flipV="1">
          <a:off x="1609725" y="27336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142875</xdr:rowOff>
    </xdr:from>
    <xdr:to>
      <xdr:col>2</xdr:col>
      <xdr:colOff>704850</xdr:colOff>
      <xdr:row>14</xdr:row>
      <xdr:rowOff>152400</xdr:rowOff>
    </xdr:to>
    <xdr:sp>
      <xdr:nvSpPr>
        <xdr:cNvPr id="8" name="Line 37"/>
        <xdr:cNvSpPr>
          <a:spLocks/>
        </xdr:cNvSpPr>
      </xdr:nvSpPr>
      <xdr:spPr>
        <a:xfrm flipV="1">
          <a:off x="1619250" y="29813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133350</xdr:rowOff>
    </xdr:from>
    <xdr:to>
      <xdr:col>2</xdr:col>
      <xdr:colOff>695325</xdr:colOff>
      <xdr:row>15</xdr:row>
      <xdr:rowOff>142875</xdr:rowOff>
    </xdr:to>
    <xdr:sp>
      <xdr:nvSpPr>
        <xdr:cNvPr id="9" name="Line 38"/>
        <xdr:cNvSpPr>
          <a:spLocks/>
        </xdr:cNvSpPr>
      </xdr:nvSpPr>
      <xdr:spPr>
        <a:xfrm flipV="1">
          <a:off x="1609725" y="31718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12</xdr:row>
      <xdr:rowOff>95250</xdr:rowOff>
    </xdr:from>
    <xdr:to>
      <xdr:col>11</xdr:col>
      <xdr:colOff>9525</xdr:colOff>
      <xdr:row>20</xdr:row>
      <xdr:rowOff>104775</xdr:rowOff>
    </xdr:to>
    <xdr:grpSp>
      <xdr:nvGrpSpPr>
        <xdr:cNvPr id="10" name="Groupe 125"/>
        <xdr:cNvGrpSpPr>
          <a:grpSpLocks/>
        </xdr:cNvGrpSpPr>
      </xdr:nvGrpSpPr>
      <xdr:grpSpPr>
        <a:xfrm>
          <a:off x="5753100" y="2552700"/>
          <a:ext cx="1724025" cy="1590675"/>
          <a:chOff x="4229101" y="2400300"/>
          <a:chExt cx="1724024" cy="1608292"/>
        </a:xfrm>
        <a:solidFill>
          <a:srgbClr val="FFFFFF"/>
        </a:solidFill>
      </xdr:grpSpPr>
      <xdr:sp>
        <xdr:nvSpPr>
          <xdr:cNvPr id="11" name="Line 5"/>
          <xdr:cNvSpPr>
            <a:spLocks/>
          </xdr:cNvSpPr>
        </xdr:nvSpPr>
        <xdr:spPr>
          <a:xfrm>
            <a:off x="4257547" y="2764980"/>
            <a:ext cx="571514" cy="81661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6"/>
          <xdr:cNvSpPr txBox="1">
            <a:spLocks noChangeArrowheads="1"/>
          </xdr:cNvSpPr>
        </xdr:nvSpPr>
        <xdr:spPr>
          <a:xfrm>
            <a:off x="4438570" y="2872334"/>
            <a:ext cx="114217" cy="2987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13" name="Line 5"/>
          <xdr:cNvSpPr>
            <a:spLocks/>
          </xdr:cNvSpPr>
        </xdr:nvSpPr>
        <xdr:spPr>
          <a:xfrm flipV="1">
            <a:off x="4257547" y="3828865"/>
            <a:ext cx="533585" cy="5749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6"/>
          <xdr:cNvSpPr txBox="1">
            <a:spLocks noChangeArrowheads="1"/>
          </xdr:cNvSpPr>
        </xdr:nvSpPr>
        <xdr:spPr>
          <a:xfrm>
            <a:off x="4371764" y="3700604"/>
            <a:ext cx="152576" cy="3079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15" name="Line 5"/>
          <xdr:cNvSpPr>
            <a:spLocks/>
          </xdr:cNvSpPr>
        </xdr:nvSpPr>
        <xdr:spPr>
          <a:xfrm flipV="1">
            <a:off x="4295907" y="2563944"/>
            <a:ext cx="1657218" cy="45836"/>
          </a:xfrm>
          <a:prstGeom prst="line">
            <a:avLst/>
          </a:prstGeom>
          <a:noFill/>
          <a:ln w="15875" cmpd="sng">
            <a:solidFill>
              <a:srgbClr val="00B05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6"/>
          <xdr:cNvSpPr txBox="1">
            <a:spLocks noChangeArrowheads="1"/>
          </xdr:cNvSpPr>
        </xdr:nvSpPr>
        <xdr:spPr>
          <a:xfrm>
            <a:off x="5029048" y="2400300"/>
            <a:ext cx="162058" cy="1829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17" name="Line 5"/>
          <xdr:cNvSpPr>
            <a:spLocks/>
          </xdr:cNvSpPr>
        </xdr:nvSpPr>
        <xdr:spPr>
          <a:xfrm flipV="1">
            <a:off x="4229101" y="2828910"/>
            <a:ext cx="1714542" cy="695184"/>
          </a:xfrm>
          <a:prstGeom prst="line">
            <a:avLst/>
          </a:prstGeom>
          <a:noFill/>
          <a:ln w="15875" cmpd="sng">
            <a:solidFill>
              <a:srgbClr val="00B05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6"/>
          <xdr:cNvSpPr txBox="1">
            <a:spLocks noChangeArrowheads="1"/>
          </xdr:cNvSpPr>
        </xdr:nvSpPr>
        <xdr:spPr>
          <a:xfrm>
            <a:off x="4800615" y="3084226"/>
            <a:ext cx="133181" cy="202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742950</xdr:colOff>
      <xdr:row>2</xdr:row>
      <xdr:rowOff>38100</xdr:rowOff>
    </xdr:from>
    <xdr:to>
      <xdr:col>11</xdr:col>
      <xdr:colOff>19050</xdr:colOff>
      <xdr:row>10</xdr:row>
      <xdr:rowOff>114300</xdr:rowOff>
    </xdr:to>
    <xdr:grpSp>
      <xdr:nvGrpSpPr>
        <xdr:cNvPr id="19" name="Groupe 126"/>
        <xdr:cNvGrpSpPr>
          <a:grpSpLocks/>
        </xdr:cNvGrpSpPr>
      </xdr:nvGrpSpPr>
      <xdr:grpSpPr>
        <a:xfrm>
          <a:off x="5762625" y="400050"/>
          <a:ext cx="1724025" cy="1790700"/>
          <a:chOff x="4229101" y="2400300"/>
          <a:chExt cx="1724024" cy="1608292"/>
        </a:xfrm>
        <a:solidFill>
          <a:srgbClr val="FFFFFF"/>
        </a:solidFill>
      </xdr:grpSpPr>
      <xdr:sp>
        <xdr:nvSpPr>
          <xdr:cNvPr id="20" name="Line 5"/>
          <xdr:cNvSpPr>
            <a:spLocks/>
          </xdr:cNvSpPr>
        </xdr:nvSpPr>
        <xdr:spPr>
          <a:xfrm>
            <a:off x="4257547" y="2764980"/>
            <a:ext cx="571514" cy="81661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6"/>
          <xdr:cNvSpPr txBox="1">
            <a:spLocks noChangeArrowheads="1"/>
          </xdr:cNvSpPr>
        </xdr:nvSpPr>
        <xdr:spPr>
          <a:xfrm>
            <a:off x="4438570" y="2859869"/>
            <a:ext cx="114217" cy="313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22" name="Line 5"/>
          <xdr:cNvSpPr>
            <a:spLocks/>
          </xdr:cNvSpPr>
        </xdr:nvSpPr>
        <xdr:spPr>
          <a:xfrm flipV="1">
            <a:off x="4257547" y="3828865"/>
            <a:ext cx="533585" cy="5749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6"/>
          <xdr:cNvSpPr txBox="1">
            <a:spLocks noChangeArrowheads="1"/>
          </xdr:cNvSpPr>
        </xdr:nvSpPr>
        <xdr:spPr>
          <a:xfrm>
            <a:off x="4371764" y="3695377"/>
            <a:ext cx="152576" cy="313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24" name="Line 5"/>
          <xdr:cNvSpPr>
            <a:spLocks/>
          </xdr:cNvSpPr>
        </xdr:nvSpPr>
        <xdr:spPr>
          <a:xfrm flipV="1">
            <a:off x="4295907" y="2563944"/>
            <a:ext cx="1657218" cy="45836"/>
          </a:xfrm>
          <a:prstGeom prst="line">
            <a:avLst/>
          </a:prstGeom>
          <a:noFill/>
          <a:ln w="15875" cmpd="sng">
            <a:solidFill>
              <a:srgbClr val="00B05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6"/>
          <xdr:cNvSpPr txBox="1">
            <a:spLocks noChangeArrowheads="1"/>
          </xdr:cNvSpPr>
        </xdr:nvSpPr>
        <xdr:spPr>
          <a:xfrm>
            <a:off x="5029048" y="2400300"/>
            <a:ext cx="162058" cy="1881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6" name="Line 5"/>
          <xdr:cNvSpPr>
            <a:spLocks/>
          </xdr:cNvSpPr>
        </xdr:nvSpPr>
        <xdr:spPr>
          <a:xfrm flipV="1">
            <a:off x="4229101" y="2828910"/>
            <a:ext cx="1714542" cy="695184"/>
          </a:xfrm>
          <a:prstGeom prst="line">
            <a:avLst/>
          </a:prstGeom>
          <a:noFill/>
          <a:ln w="15875" cmpd="sng">
            <a:solidFill>
              <a:srgbClr val="00B05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6"/>
          <xdr:cNvSpPr txBox="1">
            <a:spLocks noChangeArrowheads="1"/>
          </xdr:cNvSpPr>
        </xdr:nvSpPr>
        <xdr:spPr>
          <a:xfrm>
            <a:off x="4800615" y="3089453"/>
            <a:ext cx="133181" cy="1881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12</xdr:col>
      <xdr:colOff>38100</xdr:colOff>
      <xdr:row>4</xdr:row>
      <xdr:rowOff>133350</xdr:rowOff>
    </xdr:from>
    <xdr:to>
      <xdr:col>12</xdr:col>
      <xdr:colOff>561975</xdr:colOff>
      <xdr:row>8</xdr:row>
      <xdr:rowOff>9525</xdr:rowOff>
    </xdr:to>
    <xdr:sp>
      <xdr:nvSpPr>
        <xdr:cNvPr id="28" name="Line 5"/>
        <xdr:cNvSpPr>
          <a:spLocks/>
        </xdr:cNvSpPr>
      </xdr:nvSpPr>
      <xdr:spPr>
        <a:xfrm>
          <a:off x="8420100" y="819150"/>
          <a:ext cx="523875" cy="885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5</xdr:row>
      <xdr:rowOff>66675</xdr:rowOff>
    </xdr:from>
    <xdr:to>
      <xdr:col>12</xdr:col>
      <xdr:colOff>390525</xdr:colOff>
      <xdr:row>6</xdr:row>
      <xdr:rowOff>485775</xdr:rowOff>
    </xdr:to>
    <xdr:sp>
      <xdr:nvSpPr>
        <xdr:cNvPr id="29" name="Text Box 6"/>
        <xdr:cNvSpPr txBox="1">
          <a:spLocks noChangeArrowheads="1"/>
        </xdr:cNvSpPr>
      </xdr:nvSpPr>
      <xdr:spPr>
        <a:xfrm>
          <a:off x="8610600" y="914400"/>
          <a:ext cx="1619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12</xdr:col>
      <xdr:colOff>38100</xdr:colOff>
      <xdr:row>9</xdr:row>
      <xdr:rowOff>38100</xdr:rowOff>
    </xdr:from>
    <xdr:to>
      <xdr:col>13</xdr:col>
      <xdr:colOff>38100</xdr:colOff>
      <xdr:row>14</xdr:row>
      <xdr:rowOff>123825</xdr:rowOff>
    </xdr:to>
    <xdr:sp>
      <xdr:nvSpPr>
        <xdr:cNvPr id="30" name="Line 5"/>
        <xdr:cNvSpPr>
          <a:spLocks/>
        </xdr:cNvSpPr>
      </xdr:nvSpPr>
      <xdr:spPr>
        <a:xfrm flipV="1">
          <a:off x="8420100" y="1924050"/>
          <a:ext cx="581025" cy="1038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10</xdr:row>
      <xdr:rowOff>9525</xdr:rowOff>
    </xdr:from>
    <xdr:to>
      <xdr:col>12</xdr:col>
      <xdr:colOff>523875</xdr:colOff>
      <xdr:row>11</xdr:row>
      <xdr:rowOff>104775</xdr:rowOff>
    </xdr:to>
    <xdr:sp>
      <xdr:nvSpPr>
        <xdr:cNvPr id="31" name="Text Box 6"/>
        <xdr:cNvSpPr txBox="1">
          <a:spLocks noChangeArrowheads="1"/>
        </xdr:cNvSpPr>
      </xdr:nvSpPr>
      <xdr:spPr>
        <a:xfrm>
          <a:off x="8743950" y="2085975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876300</xdr:colOff>
      <xdr:row>15</xdr:row>
      <xdr:rowOff>0</xdr:rowOff>
    </xdr:from>
    <xdr:to>
      <xdr:col>13</xdr:col>
      <xdr:colOff>47625</xdr:colOff>
      <xdr:row>18</xdr:row>
      <xdr:rowOff>76200</xdr:rowOff>
    </xdr:to>
    <xdr:sp>
      <xdr:nvSpPr>
        <xdr:cNvPr id="32" name="Line 5"/>
        <xdr:cNvSpPr>
          <a:spLocks/>
        </xdr:cNvSpPr>
      </xdr:nvSpPr>
      <xdr:spPr>
        <a:xfrm flipV="1">
          <a:off x="7229475" y="3038475"/>
          <a:ext cx="1781175" cy="67627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16</xdr:row>
      <xdr:rowOff>152400</xdr:rowOff>
    </xdr:from>
    <xdr:to>
      <xdr:col>11</xdr:col>
      <xdr:colOff>476250</xdr:colOff>
      <xdr:row>17</xdr:row>
      <xdr:rowOff>142875</xdr:rowOff>
    </xdr:to>
    <xdr:sp>
      <xdr:nvSpPr>
        <xdr:cNvPr id="33" name="Text Box 6"/>
        <xdr:cNvSpPr txBox="1">
          <a:spLocks noChangeArrowheads="1"/>
        </xdr:cNvSpPr>
      </xdr:nvSpPr>
      <xdr:spPr>
        <a:xfrm>
          <a:off x="7772400" y="339090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11</xdr:col>
      <xdr:colOff>885825</xdr:colOff>
      <xdr:row>5</xdr:row>
      <xdr:rowOff>76200</xdr:rowOff>
    </xdr:from>
    <xdr:to>
      <xdr:col>13</xdr:col>
      <xdr:colOff>76200</xdr:colOff>
      <xdr:row>13</xdr:row>
      <xdr:rowOff>66675</xdr:rowOff>
    </xdr:to>
    <xdr:sp>
      <xdr:nvSpPr>
        <xdr:cNvPr id="34" name="Line 5"/>
        <xdr:cNvSpPr>
          <a:spLocks/>
        </xdr:cNvSpPr>
      </xdr:nvSpPr>
      <xdr:spPr>
        <a:xfrm flipV="1">
          <a:off x="8353425" y="923925"/>
          <a:ext cx="685800" cy="17907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771525</xdr:colOff>
      <xdr:row>8</xdr:row>
      <xdr:rowOff>47625</xdr:rowOff>
    </xdr:from>
    <xdr:to>
      <xdr:col>12</xdr:col>
      <xdr:colOff>9525</xdr:colOff>
      <xdr:row>9</xdr:row>
      <xdr:rowOff>38100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8239125" y="17430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10</xdr:col>
      <xdr:colOff>38100</xdr:colOff>
      <xdr:row>9</xdr:row>
      <xdr:rowOff>95250</xdr:rowOff>
    </xdr:from>
    <xdr:to>
      <xdr:col>12</xdr:col>
      <xdr:colOff>533400</xdr:colOff>
      <xdr:row>18</xdr:row>
      <xdr:rowOff>104775</xdr:rowOff>
    </xdr:to>
    <xdr:sp>
      <xdr:nvSpPr>
        <xdr:cNvPr id="36" name="Forme libre 36"/>
        <xdr:cNvSpPr>
          <a:spLocks/>
        </xdr:cNvSpPr>
      </xdr:nvSpPr>
      <xdr:spPr>
        <a:xfrm>
          <a:off x="7277100" y="1981200"/>
          <a:ext cx="1638300" cy="1762125"/>
        </a:xfrm>
        <a:custGeom>
          <a:pathLst>
            <a:path h="1828800" w="1571625">
              <a:moveTo>
                <a:pt x="0" y="0"/>
              </a:moveTo>
              <a:lnTo>
                <a:pt x="923925" y="0"/>
              </a:lnTo>
              <a:lnTo>
                <a:pt x="1466850" y="1104900"/>
              </a:lnTo>
              <a:lnTo>
                <a:pt x="1466850" y="1828800"/>
              </a:lnTo>
              <a:lnTo>
                <a:pt x="1571625" y="1828800"/>
              </a:lnTo>
              <a:lnTo>
                <a:pt x="1571625" y="1828800"/>
              </a:lnTo>
              <a:lnTo>
                <a:pt x="1571625" y="1828800"/>
              </a:lnTo>
            </a:path>
          </a:pathLst>
        </a:cu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9</xdr:row>
      <xdr:rowOff>66675</xdr:rowOff>
    </xdr:from>
    <xdr:to>
      <xdr:col>11</xdr:col>
      <xdr:colOff>809625</xdr:colOff>
      <xdr:row>10</xdr:row>
      <xdr:rowOff>114300</xdr:rowOff>
    </xdr:to>
    <xdr:sp>
      <xdr:nvSpPr>
        <xdr:cNvPr id="37" name="Text Box 6"/>
        <xdr:cNvSpPr txBox="1">
          <a:spLocks noChangeArrowheads="1"/>
        </xdr:cNvSpPr>
      </xdr:nvSpPr>
      <xdr:spPr>
        <a:xfrm>
          <a:off x="8124825" y="19526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866775</xdr:colOff>
      <xdr:row>19</xdr:row>
      <xdr:rowOff>133350</xdr:rowOff>
    </xdr:from>
    <xdr:to>
      <xdr:col>12</xdr:col>
      <xdr:colOff>533400</xdr:colOff>
      <xdr:row>19</xdr:row>
      <xdr:rowOff>180975</xdr:rowOff>
    </xdr:to>
    <xdr:sp>
      <xdr:nvSpPr>
        <xdr:cNvPr id="38" name="Line 5"/>
        <xdr:cNvSpPr>
          <a:spLocks/>
        </xdr:cNvSpPr>
      </xdr:nvSpPr>
      <xdr:spPr>
        <a:xfrm flipV="1">
          <a:off x="7219950" y="3971925"/>
          <a:ext cx="169545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18</xdr:row>
      <xdr:rowOff>123825</xdr:rowOff>
    </xdr:from>
    <xdr:to>
      <xdr:col>11</xdr:col>
      <xdr:colOff>809625</xdr:colOff>
      <xdr:row>19</xdr:row>
      <xdr:rowOff>180975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8105775" y="37623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12</xdr:col>
      <xdr:colOff>28575</xdr:colOff>
      <xdr:row>3</xdr:row>
      <xdr:rowOff>66675</xdr:rowOff>
    </xdr:from>
    <xdr:to>
      <xdr:col>13</xdr:col>
      <xdr:colOff>0</xdr:colOff>
      <xdr:row>3</xdr:row>
      <xdr:rowOff>123825</xdr:rowOff>
    </xdr:to>
    <xdr:sp>
      <xdr:nvSpPr>
        <xdr:cNvPr id="40" name="Line 5"/>
        <xdr:cNvSpPr>
          <a:spLocks/>
        </xdr:cNvSpPr>
      </xdr:nvSpPr>
      <xdr:spPr>
        <a:xfrm flipV="1">
          <a:off x="8410575" y="590550"/>
          <a:ext cx="552450" cy="5715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2</xdr:row>
      <xdr:rowOff>133350</xdr:rowOff>
    </xdr:from>
    <xdr:to>
      <xdr:col>12</xdr:col>
      <xdr:colOff>371475</xdr:colOff>
      <xdr:row>4</xdr:row>
      <xdr:rowOff>0</xdr:rowOff>
    </xdr:to>
    <xdr:sp>
      <xdr:nvSpPr>
        <xdr:cNvPr id="41" name="Text Box 6"/>
        <xdr:cNvSpPr txBox="1">
          <a:spLocks noChangeArrowheads="1"/>
        </xdr:cNvSpPr>
      </xdr:nvSpPr>
      <xdr:spPr>
        <a:xfrm>
          <a:off x="8610600" y="4953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12</xdr:col>
      <xdr:colOff>285750</xdr:colOff>
      <xdr:row>8</xdr:row>
      <xdr:rowOff>95250</xdr:rowOff>
    </xdr:from>
    <xdr:to>
      <xdr:col>12</xdr:col>
      <xdr:colOff>428625</xdr:colOff>
      <xdr:row>9</xdr:row>
      <xdr:rowOff>76200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8667750" y="17907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28575</xdr:colOff>
      <xdr:row>3</xdr:row>
      <xdr:rowOff>95250</xdr:rowOff>
    </xdr:from>
    <xdr:to>
      <xdr:col>15</xdr:col>
      <xdr:colOff>9525</xdr:colOff>
      <xdr:row>6</xdr:row>
      <xdr:rowOff>485775</xdr:rowOff>
    </xdr:to>
    <xdr:sp>
      <xdr:nvSpPr>
        <xdr:cNvPr id="43" name="Line 5"/>
        <xdr:cNvSpPr>
          <a:spLocks/>
        </xdr:cNvSpPr>
      </xdr:nvSpPr>
      <xdr:spPr>
        <a:xfrm>
          <a:off x="9934575" y="619125"/>
          <a:ext cx="552450" cy="8763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4</xdr:row>
      <xdr:rowOff>9525</xdr:rowOff>
    </xdr:from>
    <xdr:to>
      <xdr:col>15</xdr:col>
      <xdr:colOff>19050</xdr:colOff>
      <xdr:row>5</xdr:row>
      <xdr:rowOff>57150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0267950" y="6953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9525</xdr:colOff>
      <xdr:row>4</xdr:row>
      <xdr:rowOff>161925</xdr:rowOff>
    </xdr:from>
    <xdr:to>
      <xdr:col>14</xdr:col>
      <xdr:colOff>561975</xdr:colOff>
      <xdr:row>8</xdr:row>
      <xdr:rowOff>66675</xdr:rowOff>
    </xdr:to>
    <xdr:sp>
      <xdr:nvSpPr>
        <xdr:cNvPr id="45" name="Line 5"/>
        <xdr:cNvSpPr>
          <a:spLocks/>
        </xdr:cNvSpPr>
      </xdr:nvSpPr>
      <xdr:spPr>
        <a:xfrm>
          <a:off x="9915525" y="847725"/>
          <a:ext cx="552450" cy="914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5</xdr:row>
      <xdr:rowOff>95250</xdr:rowOff>
    </xdr:from>
    <xdr:to>
      <xdr:col>15</xdr:col>
      <xdr:colOff>257175</xdr:colOff>
      <xdr:row>7</xdr:row>
      <xdr:rowOff>9525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10106025" y="942975"/>
          <a:ext cx="6286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14</xdr:col>
      <xdr:colOff>38100</xdr:colOff>
      <xdr:row>8</xdr:row>
      <xdr:rowOff>66675</xdr:rowOff>
    </xdr:from>
    <xdr:to>
      <xdr:col>15</xdr:col>
      <xdr:colOff>28575</xdr:colOff>
      <xdr:row>9</xdr:row>
      <xdr:rowOff>142875</xdr:rowOff>
    </xdr:to>
    <xdr:sp>
      <xdr:nvSpPr>
        <xdr:cNvPr id="47" name="Line 5"/>
        <xdr:cNvSpPr>
          <a:spLocks/>
        </xdr:cNvSpPr>
      </xdr:nvSpPr>
      <xdr:spPr>
        <a:xfrm>
          <a:off x="9944100" y="1762125"/>
          <a:ext cx="561975" cy="2667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8</xdr:row>
      <xdr:rowOff>133350</xdr:rowOff>
    </xdr:from>
    <xdr:to>
      <xdr:col>15</xdr:col>
      <xdr:colOff>28575</xdr:colOff>
      <xdr:row>9</xdr:row>
      <xdr:rowOff>133350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10277475" y="1828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19050</xdr:colOff>
      <xdr:row>9</xdr:row>
      <xdr:rowOff>76200</xdr:rowOff>
    </xdr:from>
    <xdr:to>
      <xdr:col>15</xdr:col>
      <xdr:colOff>19050</xdr:colOff>
      <xdr:row>10</xdr:row>
      <xdr:rowOff>123825</xdr:rowOff>
    </xdr:to>
    <xdr:sp>
      <xdr:nvSpPr>
        <xdr:cNvPr id="49" name="Line 5"/>
        <xdr:cNvSpPr>
          <a:spLocks/>
        </xdr:cNvSpPr>
      </xdr:nvSpPr>
      <xdr:spPr>
        <a:xfrm>
          <a:off x="9925050" y="1962150"/>
          <a:ext cx="57150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9</xdr:row>
      <xdr:rowOff>161925</xdr:rowOff>
    </xdr:from>
    <xdr:to>
      <xdr:col>14</xdr:col>
      <xdr:colOff>390525</xdr:colOff>
      <xdr:row>11</xdr:row>
      <xdr:rowOff>9525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10115550" y="20478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14</xdr:col>
      <xdr:colOff>85725</xdr:colOff>
      <xdr:row>11</xdr:row>
      <xdr:rowOff>142875</xdr:rowOff>
    </xdr:from>
    <xdr:to>
      <xdr:col>15</xdr:col>
      <xdr:colOff>19050</xdr:colOff>
      <xdr:row>13</xdr:row>
      <xdr:rowOff>76200</xdr:rowOff>
    </xdr:to>
    <xdr:sp>
      <xdr:nvSpPr>
        <xdr:cNvPr id="51" name="Line 5"/>
        <xdr:cNvSpPr>
          <a:spLocks/>
        </xdr:cNvSpPr>
      </xdr:nvSpPr>
      <xdr:spPr>
        <a:xfrm flipV="1">
          <a:off x="9991725" y="2409825"/>
          <a:ext cx="504825" cy="31432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12</xdr:row>
      <xdr:rowOff>9525</xdr:rowOff>
    </xdr:from>
    <xdr:to>
      <xdr:col>14</xdr:col>
      <xdr:colOff>352425</xdr:colOff>
      <xdr:row>13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0029825" y="24669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66675</xdr:colOff>
      <xdr:row>12</xdr:row>
      <xdr:rowOff>123825</xdr:rowOff>
    </xdr:from>
    <xdr:to>
      <xdr:col>15</xdr:col>
      <xdr:colOff>66675</xdr:colOff>
      <xdr:row>14</xdr:row>
      <xdr:rowOff>104775</xdr:rowOff>
    </xdr:to>
    <xdr:sp>
      <xdr:nvSpPr>
        <xdr:cNvPr id="53" name="Line 5"/>
        <xdr:cNvSpPr>
          <a:spLocks/>
        </xdr:cNvSpPr>
      </xdr:nvSpPr>
      <xdr:spPr>
        <a:xfrm flipV="1">
          <a:off x="9972675" y="2581275"/>
          <a:ext cx="571500" cy="3619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13</xdr:row>
      <xdr:rowOff>104775</xdr:rowOff>
    </xdr:from>
    <xdr:to>
      <xdr:col>14</xdr:col>
      <xdr:colOff>352425</xdr:colOff>
      <xdr:row>14</xdr:row>
      <xdr:rowOff>152400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10077450" y="27527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14</xdr:col>
      <xdr:colOff>19050</xdr:colOff>
      <xdr:row>13</xdr:row>
      <xdr:rowOff>152400</xdr:rowOff>
    </xdr:from>
    <xdr:to>
      <xdr:col>14</xdr:col>
      <xdr:colOff>542925</xdr:colOff>
      <xdr:row>18</xdr:row>
      <xdr:rowOff>85725</xdr:rowOff>
    </xdr:to>
    <xdr:sp>
      <xdr:nvSpPr>
        <xdr:cNvPr id="55" name="Line 5"/>
        <xdr:cNvSpPr>
          <a:spLocks/>
        </xdr:cNvSpPr>
      </xdr:nvSpPr>
      <xdr:spPr>
        <a:xfrm flipV="1">
          <a:off x="9925050" y="2800350"/>
          <a:ext cx="523875" cy="92392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15</xdr:row>
      <xdr:rowOff>142875</xdr:rowOff>
    </xdr:from>
    <xdr:to>
      <xdr:col>14</xdr:col>
      <xdr:colOff>333375</xdr:colOff>
      <xdr:row>16</xdr:row>
      <xdr:rowOff>152400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10010775" y="318135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0</xdr:colOff>
      <xdr:row>15</xdr:row>
      <xdr:rowOff>38100</xdr:rowOff>
    </xdr:from>
    <xdr:to>
      <xdr:col>15</xdr:col>
      <xdr:colOff>47625</xdr:colOff>
      <xdr:row>19</xdr:row>
      <xdr:rowOff>104775</xdr:rowOff>
    </xdr:to>
    <xdr:sp>
      <xdr:nvSpPr>
        <xdr:cNvPr id="57" name="Line 5"/>
        <xdr:cNvSpPr>
          <a:spLocks/>
        </xdr:cNvSpPr>
      </xdr:nvSpPr>
      <xdr:spPr>
        <a:xfrm flipV="1">
          <a:off x="9906000" y="3076575"/>
          <a:ext cx="6191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17</xdr:row>
      <xdr:rowOff>76200</xdr:rowOff>
    </xdr:from>
    <xdr:to>
      <xdr:col>14</xdr:col>
      <xdr:colOff>419100</xdr:colOff>
      <xdr:row>18</xdr:row>
      <xdr:rowOff>104775</xdr:rowOff>
    </xdr:to>
    <xdr:sp>
      <xdr:nvSpPr>
        <xdr:cNvPr id="58" name="Text Box 6"/>
        <xdr:cNvSpPr txBox="1">
          <a:spLocks noChangeArrowheads="1"/>
        </xdr:cNvSpPr>
      </xdr:nvSpPr>
      <xdr:spPr>
        <a:xfrm>
          <a:off x="10144125" y="35147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10</xdr:col>
      <xdr:colOff>85725</xdr:colOff>
      <xdr:row>29</xdr:row>
      <xdr:rowOff>85725</xdr:rowOff>
    </xdr:from>
    <xdr:to>
      <xdr:col>12</xdr:col>
      <xdr:colOff>542925</xdr:colOff>
      <xdr:row>34</xdr:row>
      <xdr:rowOff>95250</xdr:rowOff>
    </xdr:to>
    <xdr:sp>
      <xdr:nvSpPr>
        <xdr:cNvPr id="59" name="Forme libre 159"/>
        <xdr:cNvSpPr>
          <a:spLocks/>
        </xdr:cNvSpPr>
      </xdr:nvSpPr>
      <xdr:spPr>
        <a:xfrm>
          <a:off x="7324725" y="5981700"/>
          <a:ext cx="1600200" cy="962025"/>
        </a:xfrm>
        <a:custGeom>
          <a:pathLst>
            <a:path h="1057275" w="1600200">
              <a:moveTo>
                <a:pt x="0" y="9525"/>
              </a:moveTo>
              <a:lnTo>
                <a:pt x="933450" y="0"/>
              </a:lnTo>
              <a:lnTo>
                <a:pt x="1466850" y="1057275"/>
              </a:lnTo>
              <a:lnTo>
                <a:pt x="1600200" y="1057275"/>
              </a:lnTo>
            </a:path>
          </a:pathLst>
        </a:custGeom>
        <a:noFill/>
        <a:ln w="19050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29</xdr:row>
      <xdr:rowOff>66675</xdr:rowOff>
    </xdr:from>
    <xdr:to>
      <xdr:col>2</xdr:col>
      <xdr:colOff>714375</xdr:colOff>
      <xdr:row>29</xdr:row>
      <xdr:rowOff>76200</xdr:rowOff>
    </xdr:to>
    <xdr:sp>
      <xdr:nvSpPr>
        <xdr:cNvPr id="60" name="Line 31"/>
        <xdr:cNvSpPr>
          <a:spLocks/>
        </xdr:cNvSpPr>
      </xdr:nvSpPr>
      <xdr:spPr>
        <a:xfrm flipV="1">
          <a:off x="1628775" y="59626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30</xdr:row>
      <xdr:rowOff>66675</xdr:rowOff>
    </xdr:from>
    <xdr:to>
      <xdr:col>2</xdr:col>
      <xdr:colOff>714375</xdr:colOff>
      <xdr:row>30</xdr:row>
      <xdr:rowOff>76200</xdr:rowOff>
    </xdr:to>
    <xdr:sp>
      <xdr:nvSpPr>
        <xdr:cNvPr id="61" name="Line 32"/>
        <xdr:cNvSpPr>
          <a:spLocks/>
        </xdr:cNvSpPr>
      </xdr:nvSpPr>
      <xdr:spPr>
        <a:xfrm flipV="1">
          <a:off x="1628775" y="61531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31</xdr:row>
      <xdr:rowOff>66675</xdr:rowOff>
    </xdr:from>
    <xdr:to>
      <xdr:col>2</xdr:col>
      <xdr:colOff>714375</xdr:colOff>
      <xdr:row>31</xdr:row>
      <xdr:rowOff>76200</xdr:rowOff>
    </xdr:to>
    <xdr:sp>
      <xdr:nvSpPr>
        <xdr:cNvPr id="62" name="Line 33"/>
        <xdr:cNvSpPr>
          <a:spLocks/>
        </xdr:cNvSpPr>
      </xdr:nvSpPr>
      <xdr:spPr>
        <a:xfrm flipV="1">
          <a:off x="1628775" y="63436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66675</xdr:rowOff>
    </xdr:from>
    <xdr:to>
      <xdr:col>2</xdr:col>
      <xdr:colOff>714375</xdr:colOff>
      <xdr:row>32</xdr:row>
      <xdr:rowOff>76200</xdr:rowOff>
    </xdr:to>
    <xdr:sp>
      <xdr:nvSpPr>
        <xdr:cNvPr id="63" name="Line 34"/>
        <xdr:cNvSpPr>
          <a:spLocks/>
        </xdr:cNvSpPr>
      </xdr:nvSpPr>
      <xdr:spPr>
        <a:xfrm flipV="1">
          <a:off x="1628775" y="65341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33</xdr:row>
      <xdr:rowOff>66675</xdr:rowOff>
    </xdr:from>
    <xdr:to>
      <xdr:col>2</xdr:col>
      <xdr:colOff>714375</xdr:colOff>
      <xdr:row>33</xdr:row>
      <xdr:rowOff>76200</xdr:rowOff>
    </xdr:to>
    <xdr:sp>
      <xdr:nvSpPr>
        <xdr:cNvPr id="64" name="Line 35"/>
        <xdr:cNvSpPr>
          <a:spLocks/>
        </xdr:cNvSpPr>
      </xdr:nvSpPr>
      <xdr:spPr>
        <a:xfrm flipV="1">
          <a:off x="1628775" y="67246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34</xdr:row>
      <xdr:rowOff>85725</xdr:rowOff>
    </xdr:from>
    <xdr:to>
      <xdr:col>2</xdr:col>
      <xdr:colOff>695325</xdr:colOff>
      <xdr:row>34</xdr:row>
      <xdr:rowOff>95250</xdr:rowOff>
    </xdr:to>
    <xdr:sp>
      <xdr:nvSpPr>
        <xdr:cNvPr id="65" name="Line 36"/>
        <xdr:cNvSpPr>
          <a:spLocks/>
        </xdr:cNvSpPr>
      </xdr:nvSpPr>
      <xdr:spPr>
        <a:xfrm flipV="1">
          <a:off x="1609725" y="69342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35</xdr:row>
      <xdr:rowOff>114300</xdr:rowOff>
    </xdr:from>
    <xdr:to>
      <xdr:col>2</xdr:col>
      <xdr:colOff>704850</xdr:colOff>
      <xdr:row>35</xdr:row>
      <xdr:rowOff>123825</xdr:rowOff>
    </xdr:to>
    <xdr:sp>
      <xdr:nvSpPr>
        <xdr:cNvPr id="66" name="Line 37"/>
        <xdr:cNvSpPr>
          <a:spLocks/>
        </xdr:cNvSpPr>
      </xdr:nvSpPr>
      <xdr:spPr>
        <a:xfrm flipV="1">
          <a:off x="1619250" y="71532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36</xdr:row>
      <xdr:rowOff>133350</xdr:rowOff>
    </xdr:from>
    <xdr:to>
      <xdr:col>2</xdr:col>
      <xdr:colOff>695325</xdr:colOff>
      <xdr:row>36</xdr:row>
      <xdr:rowOff>142875</xdr:rowOff>
    </xdr:to>
    <xdr:sp>
      <xdr:nvSpPr>
        <xdr:cNvPr id="67" name="Line 38"/>
        <xdr:cNvSpPr>
          <a:spLocks/>
        </xdr:cNvSpPr>
      </xdr:nvSpPr>
      <xdr:spPr>
        <a:xfrm flipV="1">
          <a:off x="1609725" y="73628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33</xdr:row>
      <xdr:rowOff>95250</xdr:rowOff>
    </xdr:from>
    <xdr:to>
      <xdr:col>11</xdr:col>
      <xdr:colOff>9525</xdr:colOff>
      <xdr:row>41</xdr:row>
      <xdr:rowOff>104775</xdr:rowOff>
    </xdr:to>
    <xdr:grpSp>
      <xdr:nvGrpSpPr>
        <xdr:cNvPr id="68" name="Groupe 125"/>
        <xdr:cNvGrpSpPr>
          <a:grpSpLocks/>
        </xdr:cNvGrpSpPr>
      </xdr:nvGrpSpPr>
      <xdr:grpSpPr>
        <a:xfrm>
          <a:off x="5753100" y="6753225"/>
          <a:ext cx="1724025" cy="1390650"/>
          <a:chOff x="4229101" y="2400300"/>
          <a:chExt cx="1724024" cy="1608292"/>
        </a:xfrm>
        <a:solidFill>
          <a:srgbClr val="FFFFFF"/>
        </a:solidFill>
      </xdr:grpSpPr>
      <xdr:sp>
        <xdr:nvSpPr>
          <xdr:cNvPr id="69" name="Line 5"/>
          <xdr:cNvSpPr>
            <a:spLocks/>
          </xdr:cNvSpPr>
        </xdr:nvSpPr>
        <xdr:spPr>
          <a:xfrm>
            <a:off x="4257547" y="2764980"/>
            <a:ext cx="571514" cy="81661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6"/>
          <xdr:cNvSpPr txBox="1">
            <a:spLocks noChangeArrowheads="1"/>
          </xdr:cNvSpPr>
        </xdr:nvSpPr>
        <xdr:spPr>
          <a:xfrm>
            <a:off x="4438570" y="2863086"/>
            <a:ext cx="114217" cy="3083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71" name="Line 5"/>
          <xdr:cNvSpPr>
            <a:spLocks/>
          </xdr:cNvSpPr>
        </xdr:nvSpPr>
        <xdr:spPr>
          <a:xfrm flipV="1">
            <a:off x="4257547" y="3828865"/>
            <a:ext cx="533585" cy="5749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 Box 6"/>
          <xdr:cNvSpPr txBox="1">
            <a:spLocks noChangeArrowheads="1"/>
          </xdr:cNvSpPr>
        </xdr:nvSpPr>
        <xdr:spPr>
          <a:xfrm>
            <a:off x="4371764" y="3700202"/>
            <a:ext cx="152576" cy="3083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73" name="Line 5"/>
          <xdr:cNvSpPr>
            <a:spLocks/>
          </xdr:cNvSpPr>
        </xdr:nvSpPr>
        <xdr:spPr>
          <a:xfrm flipV="1">
            <a:off x="4295907" y="2563944"/>
            <a:ext cx="1657218" cy="45836"/>
          </a:xfrm>
          <a:prstGeom prst="line">
            <a:avLst/>
          </a:prstGeom>
          <a:noFill/>
          <a:ln w="15875" cmpd="sng">
            <a:solidFill>
              <a:srgbClr val="00B05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 Box 6"/>
          <xdr:cNvSpPr txBox="1">
            <a:spLocks noChangeArrowheads="1"/>
          </xdr:cNvSpPr>
        </xdr:nvSpPr>
        <xdr:spPr>
          <a:xfrm>
            <a:off x="5029048" y="2400300"/>
            <a:ext cx="162058" cy="1873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75" name="Line 5"/>
          <xdr:cNvSpPr>
            <a:spLocks/>
          </xdr:cNvSpPr>
        </xdr:nvSpPr>
        <xdr:spPr>
          <a:xfrm flipV="1">
            <a:off x="4229101" y="2828910"/>
            <a:ext cx="1714542" cy="695184"/>
          </a:xfrm>
          <a:prstGeom prst="line">
            <a:avLst/>
          </a:prstGeom>
          <a:noFill/>
          <a:ln w="15875" cmpd="sng">
            <a:solidFill>
              <a:srgbClr val="00B05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6"/>
          <xdr:cNvSpPr txBox="1">
            <a:spLocks noChangeArrowheads="1"/>
          </xdr:cNvSpPr>
        </xdr:nvSpPr>
        <xdr:spPr>
          <a:xfrm>
            <a:off x="4800615" y="3083422"/>
            <a:ext cx="133181" cy="1982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742950</xdr:colOff>
      <xdr:row>23</xdr:row>
      <xdr:rowOff>38100</xdr:rowOff>
    </xdr:from>
    <xdr:to>
      <xdr:col>11</xdr:col>
      <xdr:colOff>19050</xdr:colOff>
      <xdr:row>31</xdr:row>
      <xdr:rowOff>114300</xdr:rowOff>
    </xdr:to>
    <xdr:grpSp>
      <xdr:nvGrpSpPr>
        <xdr:cNvPr id="77" name="Groupe 126"/>
        <xdr:cNvGrpSpPr>
          <a:grpSpLocks/>
        </xdr:cNvGrpSpPr>
      </xdr:nvGrpSpPr>
      <xdr:grpSpPr>
        <a:xfrm>
          <a:off x="5762625" y="4600575"/>
          <a:ext cx="1724025" cy="1790700"/>
          <a:chOff x="4229101" y="2400300"/>
          <a:chExt cx="1724024" cy="1608292"/>
        </a:xfrm>
        <a:solidFill>
          <a:srgbClr val="FFFFFF"/>
        </a:solidFill>
      </xdr:grpSpPr>
      <xdr:sp>
        <xdr:nvSpPr>
          <xdr:cNvPr id="78" name="Line 5"/>
          <xdr:cNvSpPr>
            <a:spLocks/>
          </xdr:cNvSpPr>
        </xdr:nvSpPr>
        <xdr:spPr>
          <a:xfrm>
            <a:off x="4257547" y="2764980"/>
            <a:ext cx="571514" cy="81661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6"/>
          <xdr:cNvSpPr txBox="1">
            <a:spLocks noChangeArrowheads="1"/>
          </xdr:cNvSpPr>
        </xdr:nvSpPr>
        <xdr:spPr>
          <a:xfrm>
            <a:off x="4438570" y="2859869"/>
            <a:ext cx="114217" cy="313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80" name="Line 5"/>
          <xdr:cNvSpPr>
            <a:spLocks/>
          </xdr:cNvSpPr>
        </xdr:nvSpPr>
        <xdr:spPr>
          <a:xfrm flipV="1">
            <a:off x="4257547" y="3828865"/>
            <a:ext cx="533585" cy="5749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Text Box 6"/>
          <xdr:cNvSpPr txBox="1">
            <a:spLocks noChangeArrowheads="1"/>
          </xdr:cNvSpPr>
        </xdr:nvSpPr>
        <xdr:spPr>
          <a:xfrm>
            <a:off x="4371764" y="3695377"/>
            <a:ext cx="152576" cy="313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82" name="Line 5"/>
          <xdr:cNvSpPr>
            <a:spLocks/>
          </xdr:cNvSpPr>
        </xdr:nvSpPr>
        <xdr:spPr>
          <a:xfrm flipV="1">
            <a:off x="4295907" y="2563944"/>
            <a:ext cx="1657218" cy="45836"/>
          </a:xfrm>
          <a:prstGeom prst="line">
            <a:avLst/>
          </a:prstGeom>
          <a:noFill/>
          <a:ln w="15875" cmpd="sng">
            <a:solidFill>
              <a:srgbClr val="00B05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Text Box 6"/>
          <xdr:cNvSpPr txBox="1">
            <a:spLocks noChangeArrowheads="1"/>
          </xdr:cNvSpPr>
        </xdr:nvSpPr>
        <xdr:spPr>
          <a:xfrm>
            <a:off x="5029048" y="2400300"/>
            <a:ext cx="162058" cy="1881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84" name="Line 5"/>
          <xdr:cNvSpPr>
            <a:spLocks/>
          </xdr:cNvSpPr>
        </xdr:nvSpPr>
        <xdr:spPr>
          <a:xfrm flipV="1">
            <a:off x="4229101" y="2828910"/>
            <a:ext cx="1714542" cy="695184"/>
          </a:xfrm>
          <a:prstGeom prst="line">
            <a:avLst/>
          </a:prstGeom>
          <a:noFill/>
          <a:ln w="15875" cmpd="sng">
            <a:solidFill>
              <a:srgbClr val="00B05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Text Box 6"/>
          <xdr:cNvSpPr txBox="1">
            <a:spLocks noChangeArrowheads="1"/>
          </xdr:cNvSpPr>
        </xdr:nvSpPr>
        <xdr:spPr>
          <a:xfrm>
            <a:off x="4800615" y="3089453"/>
            <a:ext cx="133181" cy="1881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12</xdr:col>
      <xdr:colOff>38100</xdr:colOff>
      <xdr:row>25</xdr:row>
      <xdr:rowOff>133350</xdr:rowOff>
    </xdr:from>
    <xdr:to>
      <xdr:col>12</xdr:col>
      <xdr:colOff>561975</xdr:colOff>
      <xdr:row>29</xdr:row>
      <xdr:rowOff>9525</xdr:rowOff>
    </xdr:to>
    <xdr:sp>
      <xdr:nvSpPr>
        <xdr:cNvPr id="86" name="Line 5"/>
        <xdr:cNvSpPr>
          <a:spLocks/>
        </xdr:cNvSpPr>
      </xdr:nvSpPr>
      <xdr:spPr>
        <a:xfrm>
          <a:off x="8420100" y="5019675"/>
          <a:ext cx="523875" cy="885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26</xdr:row>
      <xdr:rowOff>66675</xdr:rowOff>
    </xdr:from>
    <xdr:to>
      <xdr:col>12</xdr:col>
      <xdr:colOff>390525</xdr:colOff>
      <xdr:row>27</xdr:row>
      <xdr:rowOff>485775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8610600" y="5114925"/>
          <a:ext cx="1619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12</xdr:col>
      <xdr:colOff>38100</xdr:colOff>
      <xdr:row>30</xdr:row>
      <xdr:rowOff>38100</xdr:rowOff>
    </xdr:from>
    <xdr:to>
      <xdr:col>13</xdr:col>
      <xdr:colOff>38100</xdr:colOff>
      <xdr:row>35</xdr:row>
      <xdr:rowOff>104775</xdr:rowOff>
    </xdr:to>
    <xdr:sp>
      <xdr:nvSpPr>
        <xdr:cNvPr id="88" name="Line 5"/>
        <xdr:cNvSpPr>
          <a:spLocks/>
        </xdr:cNvSpPr>
      </xdr:nvSpPr>
      <xdr:spPr>
        <a:xfrm flipV="1">
          <a:off x="8420100" y="6124575"/>
          <a:ext cx="581025" cy="1019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31</xdr:row>
      <xdr:rowOff>9525</xdr:rowOff>
    </xdr:from>
    <xdr:to>
      <xdr:col>12</xdr:col>
      <xdr:colOff>523875</xdr:colOff>
      <xdr:row>32</xdr:row>
      <xdr:rowOff>104775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8743950" y="628650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876300</xdr:colOff>
      <xdr:row>36</xdr:row>
      <xdr:rowOff>0</xdr:rowOff>
    </xdr:from>
    <xdr:to>
      <xdr:col>13</xdr:col>
      <xdr:colOff>47625</xdr:colOff>
      <xdr:row>39</xdr:row>
      <xdr:rowOff>76200</xdr:rowOff>
    </xdr:to>
    <xdr:sp>
      <xdr:nvSpPr>
        <xdr:cNvPr id="90" name="Line 5"/>
        <xdr:cNvSpPr>
          <a:spLocks/>
        </xdr:cNvSpPr>
      </xdr:nvSpPr>
      <xdr:spPr>
        <a:xfrm flipV="1">
          <a:off x="7229475" y="7229475"/>
          <a:ext cx="1781175" cy="56197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37</xdr:row>
      <xdr:rowOff>161925</xdr:rowOff>
    </xdr:from>
    <xdr:to>
      <xdr:col>11</xdr:col>
      <xdr:colOff>476250</xdr:colOff>
      <xdr:row>38</xdr:row>
      <xdr:rowOff>142875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7772400" y="755332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11</xdr:col>
      <xdr:colOff>885825</xdr:colOff>
      <xdr:row>26</xdr:row>
      <xdr:rowOff>76200</xdr:rowOff>
    </xdr:from>
    <xdr:to>
      <xdr:col>13</xdr:col>
      <xdr:colOff>76200</xdr:colOff>
      <xdr:row>34</xdr:row>
      <xdr:rowOff>66675</xdr:rowOff>
    </xdr:to>
    <xdr:sp>
      <xdr:nvSpPr>
        <xdr:cNvPr id="92" name="Line 5"/>
        <xdr:cNvSpPr>
          <a:spLocks/>
        </xdr:cNvSpPr>
      </xdr:nvSpPr>
      <xdr:spPr>
        <a:xfrm flipV="1">
          <a:off x="8353425" y="5124450"/>
          <a:ext cx="685800" cy="17907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771525</xdr:colOff>
      <xdr:row>29</xdr:row>
      <xdr:rowOff>47625</xdr:rowOff>
    </xdr:from>
    <xdr:to>
      <xdr:col>12</xdr:col>
      <xdr:colOff>9525</xdr:colOff>
      <xdr:row>30</xdr:row>
      <xdr:rowOff>38100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8239125" y="59436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10</xdr:col>
      <xdr:colOff>38100</xdr:colOff>
      <xdr:row>30</xdr:row>
      <xdr:rowOff>95250</xdr:rowOff>
    </xdr:from>
    <xdr:to>
      <xdr:col>12</xdr:col>
      <xdr:colOff>533400</xdr:colOff>
      <xdr:row>39</xdr:row>
      <xdr:rowOff>104775</xdr:rowOff>
    </xdr:to>
    <xdr:sp>
      <xdr:nvSpPr>
        <xdr:cNvPr id="94" name="Forme libre 94"/>
        <xdr:cNvSpPr>
          <a:spLocks/>
        </xdr:cNvSpPr>
      </xdr:nvSpPr>
      <xdr:spPr>
        <a:xfrm>
          <a:off x="7277100" y="6181725"/>
          <a:ext cx="1638300" cy="1638300"/>
        </a:xfrm>
        <a:custGeom>
          <a:pathLst>
            <a:path h="1828800" w="1571625">
              <a:moveTo>
                <a:pt x="0" y="0"/>
              </a:moveTo>
              <a:lnTo>
                <a:pt x="923925" y="0"/>
              </a:lnTo>
              <a:lnTo>
                <a:pt x="1466850" y="1104900"/>
              </a:lnTo>
              <a:lnTo>
                <a:pt x="1466850" y="1828800"/>
              </a:lnTo>
              <a:lnTo>
                <a:pt x="1571625" y="1828800"/>
              </a:lnTo>
              <a:lnTo>
                <a:pt x="1571625" y="1828800"/>
              </a:lnTo>
              <a:lnTo>
                <a:pt x="1571625" y="1828800"/>
              </a:lnTo>
            </a:path>
          </a:pathLst>
        </a:cu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30</xdr:row>
      <xdr:rowOff>66675</xdr:rowOff>
    </xdr:from>
    <xdr:to>
      <xdr:col>11</xdr:col>
      <xdr:colOff>809625</xdr:colOff>
      <xdr:row>31</xdr:row>
      <xdr:rowOff>114300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8124825" y="61531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866775</xdr:colOff>
      <xdr:row>40</xdr:row>
      <xdr:rowOff>133350</xdr:rowOff>
    </xdr:from>
    <xdr:to>
      <xdr:col>12</xdr:col>
      <xdr:colOff>533400</xdr:colOff>
      <xdr:row>40</xdr:row>
      <xdr:rowOff>161925</xdr:rowOff>
    </xdr:to>
    <xdr:sp>
      <xdr:nvSpPr>
        <xdr:cNvPr id="96" name="Line 5"/>
        <xdr:cNvSpPr>
          <a:spLocks/>
        </xdr:cNvSpPr>
      </xdr:nvSpPr>
      <xdr:spPr>
        <a:xfrm flipV="1">
          <a:off x="7219950" y="8010525"/>
          <a:ext cx="1695450" cy="285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39</xdr:row>
      <xdr:rowOff>133350</xdr:rowOff>
    </xdr:from>
    <xdr:to>
      <xdr:col>11</xdr:col>
      <xdr:colOff>809625</xdr:colOff>
      <xdr:row>40</xdr:row>
      <xdr:rowOff>161925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8105775" y="784860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12</xdr:col>
      <xdr:colOff>28575</xdr:colOff>
      <xdr:row>24</xdr:row>
      <xdr:rowOff>66675</xdr:rowOff>
    </xdr:from>
    <xdr:to>
      <xdr:col>13</xdr:col>
      <xdr:colOff>0</xdr:colOff>
      <xdr:row>24</xdr:row>
      <xdr:rowOff>123825</xdr:rowOff>
    </xdr:to>
    <xdr:sp>
      <xdr:nvSpPr>
        <xdr:cNvPr id="98" name="Line 5"/>
        <xdr:cNvSpPr>
          <a:spLocks/>
        </xdr:cNvSpPr>
      </xdr:nvSpPr>
      <xdr:spPr>
        <a:xfrm flipV="1">
          <a:off x="8410575" y="4791075"/>
          <a:ext cx="552450" cy="5715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23</xdr:row>
      <xdr:rowOff>133350</xdr:rowOff>
    </xdr:from>
    <xdr:to>
      <xdr:col>12</xdr:col>
      <xdr:colOff>371475</xdr:colOff>
      <xdr:row>25</xdr:row>
      <xdr:rowOff>0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8610600" y="46958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12</xdr:col>
      <xdr:colOff>285750</xdr:colOff>
      <xdr:row>29</xdr:row>
      <xdr:rowOff>95250</xdr:rowOff>
    </xdr:from>
    <xdr:to>
      <xdr:col>12</xdr:col>
      <xdr:colOff>428625</xdr:colOff>
      <xdr:row>30</xdr:row>
      <xdr:rowOff>76200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8667750" y="59912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28575</xdr:colOff>
      <xdr:row>24</xdr:row>
      <xdr:rowOff>95250</xdr:rowOff>
    </xdr:from>
    <xdr:to>
      <xdr:col>15</xdr:col>
      <xdr:colOff>9525</xdr:colOff>
      <xdr:row>27</xdr:row>
      <xdr:rowOff>485775</xdr:rowOff>
    </xdr:to>
    <xdr:sp>
      <xdr:nvSpPr>
        <xdr:cNvPr id="101" name="Line 5"/>
        <xdr:cNvSpPr>
          <a:spLocks/>
        </xdr:cNvSpPr>
      </xdr:nvSpPr>
      <xdr:spPr>
        <a:xfrm>
          <a:off x="9934575" y="4819650"/>
          <a:ext cx="552450" cy="8763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25</xdr:row>
      <xdr:rowOff>9525</xdr:rowOff>
    </xdr:from>
    <xdr:to>
      <xdr:col>15</xdr:col>
      <xdr:colOff>19050</xdr:colOff>
      <xdr:row>26</xdr:row>
      <xdr:rowOff>57150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0267950" y="489585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9525</xdr:colOff>
      <xdr:row>25</xdr:row>
      <xdr:rowOff>161925</xdr:rowOff>
    </xdr:from>
    <xdr:to>
      <xdr:col>14</xdr:col>
      <xdr:colOff>561975</xdr:colOff>
      <xdr:row>29</xdr:row>
      <xdr:rowOff>66675</xdr:rowOff>
    </xdr:to>
    <xdr:sp>
      <xdr:nvSpPr>
        <xdr:cNvPr id="103" name="Line 5"/>
        <xdr:cNvSpPr>
          <a:spLocks/>
        </xdr:cNvSpPr>
      </xdr:nvSpPr>
      <xdr:spPr>
        <a:xfrm>
          <a:off x="9915525" y="5048250"/>
          <a:ext cx="552450" cy="914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26</xdr:row>
      <xdr:rowOff>95250</xdr:rowOff>
    </xdr:from>
    <xdr:to>
      <xdr:col>15</xdr:col>
      <xdr:colOff>257175</xdr:colOff>
      <xdr:row>28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0106025" y="5143500"/>
          <a:ext cx="6286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14</xdr:col>
      <xdr:colOff>38100</xdr:colOff>
      <xdr:row>29</xdr:row>
      <xdr:rowOff>66675</xdr:rowOff>
    </xdr:from>
    <xdr:to>
      <xdr:col>15</xdr:col>
      <xdr:colOff>28575</xdr:colOff>
      <xdr:row>30</xdr:row>
      <xdr:rowOff>142875</xdr:rowOff>
    </xdr:to>
    <xdr:sp>
      <xdr:nvSpPr>
        <xdr:cNvPr id="105" name="Line 5"/>
        <xdr:cNvSpPr>
          <a:spLocks/>
        </xdr:cNvSpPr>
      </xdr:nvSpPr>
      <xdr:spPr>
        <a:xfrm>
          <a:off x="9944100" y="5962650"/>
          <a:ext cx="561975" cy="2667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29</xdr:row>
      <xdr:rowOff>133350</xdr:rowOff>
    </xdr:from>
    <xdr:to>
      <xdr:col>15</xdr:col>
      <xdr:colOff>28575</xdr:colOff>
      <xdr:row>30</xdr:row>
      <xdr:rowOff>133350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0277475" y="60293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19050</xdr:colOff>
      <xdr:row>30</xdr:row>
      <xdr:rowOff>76200</xdr:rowOff>
    </xdr:from>
    <xdr:to>
      <xdr:col>15</xdr:col>
      <xdr:colOff>19050</xdr:colOff>
      <xdr:row>31</xdr:row>
      <xdr:rowOff>123825</xdr:rowOff>
    </xdr:to>
    <xdr:sp>
      <xdr:nvSpPr>
        <xdr:cNvPr id="107" name="Line 5"/>
        <xdr:cNvSpPr>
          <a:spLocks/>
        </xdr:cNvSpPr>
      </xdr:nvSpPr>
      <xdr:spPr>
        <a:xfrm>
          <a:off x="9925050" y="6162675"/>
          <a:ext cx="57150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30</xdr:row>
      <xdr:rowOff>161925</xdr:rowOff>
    </xdr:from>
    <xdr:to>
      <xdr:col>14</xdr:col>
      <xdr:colOff>390525</xdr:colOff>
      <xdr:row>32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0115550" y="62484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14</xdr:col>
      <xdr:colOff>85725</xdr:colOff>
      <xdr:row>32</xdr:row>
      <xdr:rowOff>142875</xdr:rowOff>
    </xdr:from>
    <xdr:to>
      <xdr:col>15</xdr:col>
      <xdr:colOff>19050</xdr:colOff>
      <xdr:row>34</xdr:row>
      <xdr:rowOff>76200</xdr:rowOff>
    </xdr:to>
    <xdr:sp>
      <xdr:nvSpPr>
        <xdr:cNvPr id="109" name="Line 5"/>
        <xdr:cNvSpPr>
          <a:spLocks/>
        </xdr:cNvSpPr>
      </xdr:nvSpPr>
      <xdr:spPr>
        <a:xfrm flipV="1">
          <a:off x="9991725" y="6610350"/>
          <a:ext cx="504825" cy="31432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33</xdr:row>
      <xdr:rowOff>9525</xdr:rowOff>
    </xdr:from>
    <xdr:to>
      <xdr:col>14</xdr:col>
      <xdr:colOff>352425</xdr:colOff>
      <xdr:row>34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0029825" y="66675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66675</xdr:colOff>
      <xdr:row>33</xdr:row>
      <xdr:rowOff>123825</xdr:rowOff>
    </xdr:from>
    <xdr:to>
      <xdr:col>15</xdr:col>
      <xdr:colOff>66675</xdr:colOff>
      <xdr:row>35</xdr:row>
      <xdr:rowOff>85725</xdr:rowOff>
    </xdr:to>
    <xdr:sp>
      <xdr:nvSpPr>
        <xdr:cNvPr id="111" name="Line 5"/>
        <xdr:cNvSpPr>
          <a:spLocks/>
        </xdr:cNvSpPr>
      </xdr:nvSpPr>
      <xdr:spPr>
        <a:xfrm flipV="1">
          <a:off x="9972675" y="6781800"/>
          <a:ext cx="571500" cy="342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34</xdr:row>
      <xdr:rowOff>104775</xdr:rowOff>
    </xdr:from>
    <xdr:to>
      <xdr:col>14</xdr:col>
      <xdr:colOff>352425</xdr:colOff>
      <xdr:row>35</xdr:row>
      <xdr:rowOff>123825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0077450" y="69532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14</xdr:col>
      <xdr:colOff>19050</xdr:colOff>
      <xdr:row>34</xdr:row>
      <xdr:rowOff>152400</xdr:rowOff>
    </xdr:from>
    <xdr:to>
      <xdr:col>14</xdr:col>
      <xdr:colOff>542925</xdr:colOff>
      <xdr:row>39</xdr:row>
      <xdr:rowOff>95250</xdr:rowOff>
    </xdr:to>
    <xdr:sp>
      <xdr:nvSpPr>
        <xdr:cNvPr id="113" name="Line 5"/>
        <xdr:cNvSpPr>
          <a:spLocks/>
        </xdr:cNvSpPr>
      </xdr:nvSpPr>
      <xdr:spPr>
        <a:xfrm flipV="1">
          <a:off x="9925050" y="7000875"/>
          <a:ext cx="523875" cy="80962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36</xdr:row>
      <xdr:rowOff>133350</xdr:rowOff>
    </xdr:from>
    <xdr:to>
      <xdr:col>14</xdr:col>
      <xdr:colOff>333375</xdr:colOff>
      <xdr:row>37</xdr:row>
      <xdr:rowOff>161925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0010775" y="73628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0</xdr:colOff>
      <xdr:row>36</xdr:row>
      <xdr:rowOff>38100</xdr:rowOff>
    </xdr:from>
    <xdr:to>
      <xdr:col>15</xdr:col>
      <xdr:colOff>47625</xdr:colOff>
      <xdr:row>40</xdr:row>
      <xdr:rowOff>104775</xdr:rowOff>
    </xdr:to>
    <xdr:sp>
      <xdr:nvSpPr>
        <xdr:cNvPr id="115" name="Line 5"/>
        <xdr:cNvSpPr>
          <a:spLocks/>
        </xdr:cNvSpPr>
      </xdr:nvSpPr>
      <xdr:spPr>
        <a:xfrm flipV="1">
          <a:off x="9906000" y="7267575"/>
          <a:ext cx="619125" cy="714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38</xdr:row>
      <xdr:rowOff>76200</xdr:rowOff>
    </xdr:from>
    <xdr:to>
      <xdr:col>14</xdr:col>
      <xdr:colOff>419100</xdr:colOff>
      <xdr:row>39</xdr:row>
      <xdr:rowOff>104775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0144125" y="76295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5</xdr:col>
      <xdr:colOff>19050</xdr:colOff>
      <xdr:row>23</xdr:row>
      <xdr:rowOff>142875</xdr:rowOff>
    </xdr:from>
    <xdr:to>
      <xdr:col>6</xdr:col>
      <xdr:colOff>438150</xdr:colOff>
      <xdr:row>39</xdr:row>
      <xdr:rowOff>57150</xdr:rowOff>
    </xdr:to>
    <xdr:sp>
      <xdr:nvSpPr>
        <xdr:cNvPr id="117" name="Line 5"/>
        <xdr:cNvSpPr>
          <a:spLocks/>
        </xdr:cNvSpPr>
      </xdr:nvSpPr>
      <xdr:spPr>
        <a:xfrm>
          <a:off x="3829050" y="4705350"/>
          <a:ext cx="1181100" cy="3067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24</xdr:row>
      <xdr:rowOff>95250</xdr:rowOff>
    </xdr:from>
    <xdr:to>
      <xdr:col>5</xdr:col>
      <xdr:colOff>266700</xdr:colOff>
      <xdr:row>26</xdr:row>
      <xdr:rowOff>66675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3962400" y="481965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5</xdr:col>
      <xdr:colOff>38100</xdr:colOff>
      <xdr:row>20</xdr:row>
      <xdr:rowOff>57150</xdr:rowOff>
    </xdr:from>
    <xdr:to>
      <xdr:col>7</xdr:col>
      <xdr:colOff>9525</xdr:colOff>
      <xdr:row>24</xdr:row>
      <xdr:rowOff>66675</xdr:rowOff>
    </xdr:to>
    <xdr:sp>
      <xdr:nvSpPr>
        <xdr:cNvPr id="119" name="Line 5"/>
        <xdr:cNvSpPr>
          <a:spLocks/>
        </xdr:cNvSpPr>
      </xdr:nvSpPr>
      <xdr:spPr>
        <a:xfrm>
          <a:off x="3848100" y="4095750"/>
          <a:ext cx="1181100" cy="6953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19</xdr:row>
      <xdr:rowOff>133350</xdr:rowOff>
    </xdr:from>
    <xdr:to>
      <xdr:col>5</xdr:col>
      <xdr:colOff>285750</xdr:colOff>
      <xdr:row>21</xdr:row>
      <xdr:rowOff>76200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3943350" y="39719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5</xdr:col>
      <xdr:colOff>66675</xdr:colOff>
      <xdr:row>4</xdr:row>
      <xdr:rowOff>133350</xdr:rowOff>
    </xdr:from>
    <xdr:to>
      <xdr:col>7</xdr:col>
      <xdr:colOff>28575</xdr:colOff>
      <xdr:row>19</xdr:row>
      <xdr:rowOff>47625</xdr:rowOff>
    </xdr:to>
    <xdr:sp>
      <xdr:nvSpPr>
        <xdr:cNvPr id="121" name="Line 5"/>
        <xdr:cNvSpPr>
          <a:spLocks/>
        </xdr:cNvSpPr>
      </xdr:nvSpPr>
      <xdr:spPr>
        <a:xfrm flipV="1">
          <a:off x="3876675" y="819150"/>
          <a:ext cx="1171575" cy="306705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17</xdr:row>
      <xdr:rowOff>161925</xdr:rowOff>
    </xdr:from>
    <xdr:to>
      <xdr:col>5</xdr:col>
      <xdr:colOff>123825</xdr:colOff>
      <xdr:row>18</xdr:row>
      <xdr:rowOff>142875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3771900" y="36004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5</xdr:col>
      <xdr:colOff>19050</xdr:colOff>
      <xdr:row>19</xdr:row>
      <xdr:rowOff>180975</xdr:rowOff>
    </xdr:from>
    <xdr:to>
      <xdr:col>6</xdr:col>
      <xdr:colOff>428625</xdr:colOff>
      <xdr:row>22</xdr:row>
      <xdr:rowOff>133350</xdr:rowOff>
    </xdr:to>
    <xdr:sp>
      <xdr:nvSpPr>
        <xdr:cNvPr id="123" name="Line 5"/>
        <xdr:cNvSpPr>
          <a:spLocks/>
        </xdr:cNvSpPr>
      </xdr:nvSpPr>
      <xdr:spPr>
        <a:xfrm flipV="1">
          <a:off x="3829050" y="4019550"/>
          <a:ext cx="1171575" cy="47625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22</xdr:row>
      <xdr:rowOff>57150</xdr:rowOff>
    </xdr:from>
    <xdr:to>
      <xdr:col>5</xdr:col>
      <xdr:colOff>228600</xdr:colOff>
      <xdr:row>23</xdr:row>
      <xdr:rowOff>47625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3905250" y="4419600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8</xdr:row>
      <xdr:rowOff>85725</xdr:rowOff>
    </xdr:from>
    <xdr:to>
      <xdr:col>12</xdr:col>
      <xdr:colOff>542925</xdr:colOff>
      <xdr:row>13</xdr:row>
      <xdr:rowOff>95250</xdr:rowOff>
    </xdr:to>
    <xdr:sp>
      <xdr:nvSpPr>
        <xdr:cNvPr id="1" name="Forme libre 159"/>
        <xdr:cNvSpPr>
          <a:spLocks/>
        </xdr:cNvSpPr>
      </xdr:nvSpPr>
      <xdr:spPr>
        <a:xfrm>
          <a:off x="7324725" y="1781175"/>
          <a:ext cx="1600200" cy="962025"/>
        </a:xfrm>
        <a:custGeom>
          <a:pathLst>
            <a:path h="1057275" w="1600200">
              <a:moveTo>
                <a:pt x="0" y="9525"/>
              </a:moveTo>
              <a:lnTo>
                <a:pt x="933450" y="0"/>
              </a:lnTo>
              <a:lnTo>
                <a:pt x="1466850" y="1057275"/>
              </a:lnTo>
              <a:lnTo>
                <a:pt x="1600200" y="1057275"/>
              </a:lnTo>
            </a:path>
          </a:pathLst>
        </a:custGeom>
        <a:noFill/>
        <a:ln w="19050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</xdr:row>
      <xdr:rowOff>66675</xdr:rowOff>
    </xdr:from>
    <xdr:to>
      <xdr:col>2</xdr:col>
      <xdr:colOff>714375</xdr:colOff>
      <xdr:row>8</xdr:row>
      <xdr:rowOff>76200</xdr:rowOff>
    </xdr:to>
    <xdr:sp>
      <xdr:nvSpPr>
        <xdr:cNvPr id="2" name="Line 31"/>
        <xdr:cNvSpPr>
          <a:spLocks/>
        </xdr:cNvSpPr>
      </xdr:nvSpPr>
      <xdr:spPr>
        <a:xfrm flipV="1">
          <a:off x="1628775" y="17621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66675</xdr:rowOff>
    </xdr:from>
    <xdr:to>
      <xdr:col>2</xdr:col>
      <xdr:colOff>714375</xdr:colOff>
      <xdr:row>9</xdr:row>
      <xdr:rowOff>76200</xdr:rowOff>
    </xdr:to>
    <xdr:sp>
      <xdr:nvSpPr>
        <xdr:cNvPr id="3" name="Line 32"/>
        <xdr:cNvSpPr>
          <a:spLocks/>
        </xdr:cNvSpPr>
      </xdr:nvSpPr>
      <xdr:spPr>
        <a:xfrm flipV="1">
          <a:off x="1628775" y="19526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66675</xdr:rowOff>
    </xdr:from>
    <xdr:to>
      <xdr:col>2</xdr:col>
      <xdr:colOff>714375</xdr:colOff>
      <xdr:row>10</xdr:row>
      <xdr:rowOff>76200</xdr:rowOff>
    </xdr:to>
    <xdr:sp>
      <xdr:nvSpPr>
        <xdr:cNvPr id="4" name="Line 33"/>
        <xdr:cNvSpPr>
          <a:spLocks/>
        </xdr:cNvSpPr>
      </xdr:nvSpPr>
      <xdr:spPr>
        <a:xfrm flipV="1">
          <a:off x="1628775" y="21431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66675</xdr:rowOff>
    </xdr:from>
    <xdr:to>
      <xdr:col>2</xdr:col>
      <xdr:colOff>714375</xdr:colOff>
      <xdr:row>11</xdr:row>
      <xdr:rowOff>76200</xdr:rowOff>
    </xdr:to>
    <xdr:sp>
      <xdr:nvSpPr>
        <xdr:cNvPr id="5" name="Line 34"/>
        <xdr:cNvSpPr>
          <a:spLocks/>
        </xdr:cNvSpPr>
      </xdr:nvSpPr>
      <xdr:spPr>
        <a:xfrm flipV="1">
          <a:off x="1628775" y="23336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66675</xdr:rowOff>
    </xdr:from>
    <xdr:to>
      <xdr:col>2</xdr:col>
      <xdr:colOff>714375</xdr:colOff>
      <xdr:row>12</xdr:row>
      <xdr:rowOff>76200</xdr:rowOff>
    </xdr:to>
    <xdr:sp>
      <xdr:nvSpPr>
        <xdr:cNvPr id="6" name="Line 35"/>
        <xdr:cNvSpPr>
          <a:spLocks/>
        </xdr:cNvSpPr>
      </xdr:nvSpPr>
      <xdr:spPr>
        <a:xfrm flipV="1">
          <a:off x="1628775" y="25241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85725</xdr:rowOff>
    </xdr:from>
    <xdr:to>
      <xdr:col>2</xdr:col>
      <xdr:colOff>695325</xdr:colOff>
      <xdr:row>13</xdr:row>
      <xdr:rowOff>95250</xdr:rowOff>
    </xdr:to>
    <xdr:sp>
      <xdr:nvSpPr>
        <xdr:cNvPr id="7" name="Line 36"/>
        <xdr:cNvSpPr>
          <a:spLocks/>
        </xdr:cNvSpPr>
      </xdr:nvSpPr>
      <xdr:spPr>
        <a:xfrm flipV="1">
          <a:off x="1609725" y="27336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142875</xdr:rowOff>
    </xdr:from>
    <xdr:to>
      <xdr:col>2</xdr:col>
      <xdr:colOff>704850</xdr:colOff>
      <xdr:row>14</xdr:row>
      <xdr:rowOff>152400</xdr:rowOff>
    </xdr:to>
    <xdr:sp>
      <xdr:nvSpPr>
        <xdr:cNvPr id="8" name="Line 37"/>
        <xdr:cNvSpPr>
          <a:spLocks/>
        </xdr:cNvSpPr>
      </xdr:nvSpPr>
      <xdr:spPr>
        <a:xfrm flipV="1">
          <a:off x="1619250" y="29813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133350</xdr:rowOff>
    </xdr:from>
    <xdr:to>
      <xdr:col>2</xdr:col>
      <xdr:colOff>695325</xdr:colOff>
      <xdr:row>15</xdr:row>
      <xdr:rowOff>142875</xdr:rowOff>
    </xdr:to>
    <xdr:sp>
      <xdr:nvSpPr>
        <xdr:cNvPr id="9" name="Line 38"/>
        <xdr:cNvSpPr>
          <a:spLocks/>
        </xdr:cNvSpPr>
      </xdr:nvSpPr>
      <xdr:spPr>
        <a:xfrm flipV="1">
          <a:off x="1609725" y="31718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12</xdr:row>
      <xdr:rowOff>95250</xdr:rowOff>
    </xdr:from>
    <xdr:to>
      <xdr:col>11</xdr:col>
      <xdr:colOff>9525</xdr:colOff>
      <xdr:row>20</xdr:row>
      <xdr:rowOff>104775</xdr:rowOff>
    </xdr:to>
    <xdr:grpSp>
      <xdr:nvGrpSpPr>
        <xdr:cNvPr id="10" name="Groupe 125"/>
        <xdr:cNvGrpSpPr>
          <a:grpSpLocks/>
        </xdr:cNvGrpSpPr>
      </xdr:nvGrpSpPr>
      <xdr:grpSpPr>
        <a:xfrm>
          <a:off x="5753100" y="2552700"/>
          <a:ext cx="1724025" cy="1590675"/>
          <a:chOff x="4229101" y="2400300"/>
          <a:chExt cx="1724024" cy="1608292"/>
        </a:xfrm>
        <a:solidFill>
          <a:srgbClr val="FFFFFF"/>
        </a:solidFill>
      </xdr:grpSpPr>
      <xdr:sp>
        <xdr:nvSpPr>
          <xdr:cNvPr id="11" name="Line 5"/>
          <xdr:cNvSpPr>
            <a:spLocks/>
          </xdr:cNvSpPr>
        </xdr:nvSpPr>
        <xdr:spPr>
          <a:xfrm>
            <a:off x="4257547" y="2764980"/>
            <a:ext cx="571514" cy="81661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6"/>
          <xdr:cNvSpPr txBox="1">
            <a:spLocks noChangeArrowheads="1"/>
          </xdr:cNvSpPr>
        </xdr:nvSpPr>
        <xdr:spPr>
          <a:xfrm>
            <a:off x="4438570" y="2872334"/>
            <a:ext cx="114217" cy="2987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13" name="Line 5"/>
          <xdr:cNvSpPr>
            <a:spLocks/>
          </xdr:cNvSpPr>
        </xdr:nvSpPr>
        <xdr:spPr>
          <a:xfrm flipV="1">
            <a:off x="4257547" y="3828865"/>
            <a:ext cx="533585" cy="5749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6"/>
          <xdr:cNvSpPr txBox="1">
            <a:spLocks noChangeArrowheads="1"/>
          </xdr:cNvSpPr>
        </xdr:nvSpPr>
        <xdr:spPr>
          <a:xfrm>
            <a:off x="4371764" y="3700604"/>
            <a:ext cx="152576" cy="3079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15" name="Line 5"/>
          <xdr:cNvSpPr>
            <a:spLocks/>
          </xdr:cNvSpPr>
        </xdr:nvSpPr>
        <xdr:spPr>
          <a:xfrm flipV="1">
            <a:off x="4295907" y="2563944"/>
            <a:ext cx="1657218" cy="45836"/>
          </a:xfrm>
          <a:prstGeom prst="line">
            <a:avLst/>
          </a:prstGeom>
          <a:noFill/>
          <a:ln w="15875" cmpd="sng">
            <a:solidFill>
              <a:srgbClr val="00B05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6"/>
          <xdr:cNvSpPr txBox="1">
            <a:spLocks noChangeArrowheads="1"/>
          </xdr:cNvSpPr>
        </xdr:nvSpPr>
        <xdr:spPr>
          <a:xfrm>
            <a:off x="5029048" y="2400300"/>
            <a:ext cx="162058" cy="1829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17" name="Line 5"/>
          <xdr:cNvSpPr>
            <a:spLocks/>
          </xdr:cNvSpPr>
        </xdr:nvSpPr>
        <xdr:spPr>
          <a:xfrm flipV="1">
            <a:off x="4229101" y="2828910"/>
            <a:ext cx="1714542" cy="695184"/>
          </a:xfrm>
          <a:prstGeom prst="line">
            <a:avLst/>
          </a:prstGeom>
          <a:noFill/>
          <a:ln w="15875" cmpd="sng">
            <a:solidFill>
              <a:srgbClr val="00B05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6"/>
          <xdr:cNvSpPr txBox="1">
            <a:spLocks noChangeArrowheads="1"/>
          </xdr:cNvSpPr>
        </xdr:nvSpPr>
        <xdr:spPr>
          <a:xfrm>
            <a:off x="4800615" y="3084226"/>
            <a:ext cx="133181" cy="202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742950</xdr:colOff>
      <xdr:row>2</xdr:row>
      <xdr:rowOff>38100</xdr:rowOff>
    </xdr:from>
    <xdr:to>
      <xdr:col>11</xdr:col>
      <xdr:colOff>19050</xdr:colOff>
      <xdr:row>10</xdr:row>
      <xdr:rowOff>114300</xdr:rowOff>
    </xdr:to>
    <xdr:grpSp>
      <xdr:nvGrpSpPr>
        <xdr:cNvPr id="19" name="Groupe 126"/>
        <xdr:cNvGrpSpPr>
          <a:grpSpLocks/>
        </xdr:cNvGrpSpPr>
      </xdr:nvGrpSpPr>
      <xdr:grpSpPr>
        <a:xfrm>
          <a:off x="5762625" y="400050"/>
          <a:ext cx="1724025" cy="1790700"/>
          <a:chOff x="4229101" y="2400300"/>
          <a:chExt cx="1724024" cy="1608292"/>
        </a:xfrm>
        <a:solidFill>
          <a:srgbClr val="FFFFFF"/>
        </a:solidFill>
      </xdr:grpSpPr>
      <xdr:sp>
        <xdr:nvSpPr>
          <xdr:cNvPr id="20" name="Line 5"/>
          <xdr:cNvSpPr>
            <a:spLocks/>
          </xdr:cNvSpPr>
        </xdr:nvSpPr>
        <xdr:spPr>
          <a:xfrm>
            <a:off x="4257547" y="2764980"/>
            <a:ext cx="571514" cy="81661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6"/>
          <xdr:cNvSpPr txBox="1">
            <a:spLocks noChangeArrowheads="1"/>
          </xdr:cNvSpPr>
        </xdr:nvSpPr>
        <xdr:spPr>
          <a:xfrm>
            <a:off x="4438570" y="2859869"/>
            <a:ext cx="114217" cy="313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22" name="Line 5"/>
          <xdr:cNvSpPr>
            <a:spLocks/>
          </xdr:cNvSpPr>
        </xdr:nvSpPr>
        <xdr:spPr>
          <a:xfrm flipV="1">
            <a:off x="4257547" y="3828865"/>
            <a:ext cx="533585" cy="5749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6"/>
          <xdr:cNvSpPr txBox="1">
            <a:spLocks noChangeArrowheads="1"/>
          </xdr:cNvSpPr>
        </xdr:nvSpPr>
        <xdr:spPr>
          <a:xfrm>
            <a:off x="4371764" y="3695377"/>
            <a:ext cx="152576" cy="313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24" name="Line 5"/>
          <xdr:cNvSpPr>
            <a:spLocks/>
          </xdr:cNvSpPr>
        </xdr:nvSpPr>
        <xdr:spPr>
          <a:xfrm flipV="1">
            <a:off x="4295907" y="2563944"/>
            <a:ext cx="1657218" cy="45836"/>
          </a:xfrm>
          <a:prstGeom prst="line">
            <a:avLst/>
          </a:prstGeom>
          <a:noFill/>
          <a:ln w="15875" cmpd="sng">
            <a:solidFill>
              <a:srgbClr val="00B05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6"/>
          <xdr:cNvSpPr txBox="1">
            <a:spLocks noChangeArrowheads="1"/>
          </xdr:cNvSpPr>
        </xdr:nvSpPr>
        <xdr:spPr>
          <a:xfrm>
            <a:off x="5029048" y="2400300"/>
            <a:ext cx="162058" cy="1881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6" name="Line 5"/>
          <xdr:cNvSpPr>
            <a:spLocks/>
          </xdr:cNvSpPr>
        </xdr:nvSpPr>
        <xdr:spPr>
          <a:xfrm flipV="1">
            <a:off x="4229101" y="2828910"/>
            <a:ext cx="1714542" cy="695184"/>
          </a:xfrm>
          <a:prstGeom prst="line">
            <a:avLst/>
          </a:prstGeom>
          <a:noFill/>
          <a:ln w="15875" cmpd="sng">
            <a:solidFill>
              <a:srgbClr val="00B05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6"/>
          <xdr:cNvSpPr txBox="1">
            <a:spLocks noChangeArrowheads="1"/>
          </xdr:cNvSpPr>
        </xdr:nvSpPr>
        <xdr:spPr>
          <a:xfrm>
            <a:off x="4800615" y="3089453"/>
            <a:ext cx="133181" cy="1881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12</xdr:col>
      <xdr:colOff>38100</xdr:colOff>
      <xdr:row>4</xdr:row>
      <xdr:rowOff>133350</xdr:rowOff>
    </xdr:from>
    <xdr:to>
      <xdr:col>12</xdr:col>
      <xdr:colOff>561975</xdr:colOff>
      <xdr:row>8</xdr:row>
      <xdr:rowOff>9525</xdr:rowOff>
    </xdr:to>
    <xdr:sp>
      <xdr:nvSpPr>
        <xdr:cNvPr id="28" name="Line 5"/>
        <xdr:cNvSpPr>
          <a:spLocks/>
        </xdr:cNvSpPr>
      </xdr:nvSpPr>
      <xdr:spPr>
        <a:xfrm>
          <a:off x="8420100" y="819150"/>
          <a:ext cx="523875" cy="885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5</xdr:row>
      <xdr:rowOff>66675</xdr:rowOff>
    </xdr:from>
    <xdr:to>
      <xdr:col>12</xdr:col>
      <xdr:colOff>390525</xdr:colOff>
      <xdr:row>6</xdr:row>
      <xdr:rowOff>485775</xdr:rowOff>
    </xdr:to>
    <xdr:sp>
      <xdr:nvSpPr>
        <xdr:cNvPr id="29" name="Text Box 6"/>
        <xdr:cNvSpPr txBox="1">
          <a:spLocks noChangeArrowheads="1"/>
        </xdr:cNvSpPr>
      </xdr:nvSpPr>
      <xdr:spPr>
        <a:xfrm>
          <a:off x="8610600" y="914400"/>
          <a:ext cx="1619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12</xdr:col>
      <xdr:colOff>38100</xdr:colOff>
      <xdr:row>9</xdr:row>
      <xdr:rowOff>38100</xdr:rowOff>
    </xdr:from>
    <xdr:to>
      <xdr:col>13</xdr:col>
      <xdr:colOff>38100</xdr:colOff>
      <xdr:row>14</xdr:row>
      <xdr:rowOff>123825</xdr:rowOff>
    </xdr:to>
    <xdr:sp>
      <xdr:nvSpPr>
        <xdr:cNvPr id="30" name="Line 5"/>
        <xdr:cNvSpPr>
          <a:spLocks/>
        </xdr:cNvSpPr>
      </xdr:nvSpPr>
      <xdr:spPr>
        <a:xfrm flipV="1">
          <a:off x="8420100" y="1924050"/>
          <a:ext cx="581025" cy="1038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10</xdr:row>
      <xdr:rowOff>9525</xdr:rowOff>
    </xdr:from>
    <xdr:to>
      <xdr:col>12</xdr:col>
      <xdr:colOff>523875</xdr:colOff>
      <xdr:row>11</xdr:row>
      <xdr:rowOff>104775</xdr:rowOff>
    </xdr:to>
    <xdr:sp>
      <xdr:nvSpPr>
        <xdr:cNvPr id="31" name="Text Box 6"/>
        <xdr:cNvSpPr txBox="1">
          <a:spLocks noChangeArrowheads="1"/>
        </xdr:cNvSpPr>
      </xdr:nvSpPr>
      <xdr:spPr>
        <a:xfrm>
          <a:off x="8743950" y="2085975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876300</xdr:colOff>
      <xdr:row>15</xdr:row>
      <xdr:rowOff>0</xdr:rowOff>
    </xdr:from>
    <xdr:to>
      <xdr:col>13</xdr:col>
      <xdr:colOff>47625</xdr:colOff>
      <xdr:row>18</xdr:row>
      <xdr:rowOff>76200</xdr:rowOff>
    </xdr:to>
    <xdr:sp>
      <xdr:nvSpPr>
        <xdr:cNvPr id="32" name="Line 5"/>
        <xdr:cNvSpPr>
          <a:spLocks/>
        </xdr:cNvSpPr>
      </xdr:nvSpPr>
      <xdr:spPr>
        <a:xfrm flipV="1">
          <a:off x="7229475" y="3038475"/>
          <a:ext cx="1781175" cy="67627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16</xdr:row>
      <xdr:rowOff>152400</xdr:rowOff>
    </xdr:from>
    <xdr:to>
      <xdr:col>11</xdr:col>
      <xdr:colOff>476250</xdr:colOff>
      <xdr:row>17</xdr:row>
      <xdr:rowOff>142875</xdr:rowOff>
    </xdr:to>
    <xdr:sp>
      <xdr:nvSpPr>
        <xdr:cNvPr id="33" name="Text Box 6"/>
        <xdr:cNvSpPr txBox="1">
          <a:spLocks noChangeArrowheads="1"/>
        </xdr:cNvSpPr>
      </xdr:nvSpPr>
      <xdr:spPr>
        <a:xfrm>
          <a:off x="7772400" y="339090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11</xdr:col>
      <xdr:colOff>885825</xdr:colOff>
      <xdr:row>5</xdr:row>
      <xdr:rowOff>76200</xdr:rowOff>
    </xdr:from>
    <xdr:to>
      <xdr:col>13</xdr:col>
      <xdr:colOff>76200</xdr:colOff>
      <xdr:row>13</xdr:row>
      <xdr:rowOff>66675</xdr:rowOff>
    </xdr:to>
    <xdr:sp>
      <xdr:nvSpPr>
        <xdr:cNvPr id="34" name="Line 5"/>
        <xdr:cNvSpPr>
          <a:spLocks/>
        </xdr:cNvSpPr>
      </xdr:nvSpPr>
      <xdr:spPr>
        <a:xfrm flipV="1">
          <a:off x="8353425" y="923925"/>
          <a:ext cx="685800" cy="17907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771525</xdr:colOff>
      <xdr:row>8</xdr:row>
      <xdr:rowOff>47625</xdr:rowOff>
    </xdr:from>
    <xdr:to>
      <xdr:col>12</xdr:col>
      <xdr:colOff>9525</xdr:colOff>
      <xdr:row>9</xdr:row>
      <xdr:rowOff>38100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8239125" y="17430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10</xdr:col>
      <xdr:colOff>38100</xdr:colOff>
      <xdr:row>9</xdr:row>
      <xdr:rowOff>95250</xdr:rowOff>
    </xdr:from>
    <xdr:to>
      <xdr:col>12</xdr:col>
      <xdr:colOff>533400</xdr:colOff>
      <xdr:row>18</xdr:row>
      <xdr:rowOff>104775</xdr:rowOff>
    </xdr:to>
    <xdr:sp>
      <xdr:nvSpPr>
        <xdr:cNvPr id="36" name="Forme libre 36"/>
        <xdr:cNvSpPr>
          <a:spLocks/>
        </xdr:cNvSpPr>
      </xdr:nvSpPr>
      <xdr:spPr>
        <a:xfrm>
          <a:off x="7277100" y="1981200"/>
          <a:ext cx="1638300" cy="1762125"/>
        </a:xfrm>
        <a:custGeom>
          <a:pathLst>
            <a:path h="1828800" w="1571625">
              <a:moveTo>
                <a:pt x="0" y="0"/>
              </a:moveTo>
              <a:lnTo>
                <a:pt x="923925" y="0"/>
              </a:lnTo>
              <a:lnTo>
                <a:pt x="1466850" y="1104900"/>
              </a:lnTo>
              <a:lnTo>
                <a:pt x="1466850" y="1828800"/>
              </a:lnTo>
              <a:lnTo>
                <a:pt x="1571625" y="1828800"/>
              </a:lnTo>
              <a:lnTo>
                <a:pt x="1571625" y="1828800"/>
              </a:lnTo>
              <a:lnTo>
                <a:pt x="1571625" y="1828800"/>
              </a:lnTo>
            </a:path>
          </a:pathLst>
        </a:cu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9</xdr:row>
      <xdr:rowOff>66675</xdr:rowOff>
    </xdr:from>
    <xdr:to>
      <xdr:col>11</xdr:col>
      <xdr:colOff>809625</xdr:colOff>
      <xdr:row>10</xdr:row>
      <xdr:rowOff>114300</xdr:rowOff>
    </xdr:to>
    <xdr:sp>
      <xdr:nvSpPr>
        <xdr:cNvPr id="37" name="Text Box 6"/>
        <xdr:cNvSpPr txBox="1">
          <a:spLocks noChangeArrowheads="1"/>
        </xdr:cNvSpPr>
      </xdr:nvSpPr>
      <xdr:spPr>
        <a:xfrm>
          <a:off x="8124825" y="19526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866775</xdr:colOff>
      <xdr:row>19</xdr:row>
      <xdr:rowOff>133350</xdr:rowOff>
    </xdr:from>
    <xdr:to>
      <xdr:col>12</xdr:col>
      <xdr:colOff>533400</xdr:colOff>
      <xdr:row>19</xdr:row>
      <xdr:rowOff>180975</xdr:rowOff>
    </xdr:to>
    <xdr:sp>
      <xdr:nvSpPr>
        <xdr:cNvPr id="38" name="Line 5"/>
        <xdr:cNvSpPr>
          <a:spLocks/>
        </xdr:cNvSpPr>
      </xdr:nvSpPr>
      <xdr:spPr>
        <a:xfrm flipV="1">
          <a:off x="7219950" y="3971925"/>
          <a:ext cx="1695450" cy="47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18</xdr:row>
      <xdr:rowOff>123825</xdr:rowOff>
    </xdr:from>
    <xdr:to>
      <xdr:col>11</xdr:col>
      <xdr:colOff>809625</xdr:colOff>
      <xdr:row>19</xdr:row>
      <xdr:rowOff>180975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8105775" y="37623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12</xdr:col>
      <xdr:colOff>28575</xdr:colOff>
      <xdr:row>3</xdr:row>
      <xdr:rowOff>66675</xdr:rowOff>
    </xdr:from>
    <xdr:to>
      <xdr:col>13</xdr:col>
      <xdr:colOff>0</xdr:colOff>
      <xdr:row>3</xdr:row>
      <xdr:rowOff>123825</xdr:rowOff>
    </xdr:to>
    <xdr:sp>
      <xdr:nvSpPr>
        <xdr:cNvPr id="40" name="Line 5"/>
        <xdr:cNvSpPr>
          <a:spLocks/>
        </xdr:cNvSpPr>
      </xdr:nvSpPr>
      <xdr:spPr>
        <a:xfrm flipV="1">
          <a:off x="8410575" y="590550"/>
          <a:ext cx="552450" cy="5715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2</xdr:row>
      <xdr:rowOff>133350</xdr:rowOff>
    </xdr:from>
    <xdr:to>
      <xdr:col>12</xdr:col>
      <xdr:colOff>371475</xdr:colOff>
      <xdr:row>4</xdr:row>
      <xdr:rowOff>0</xdr:rowOff>
    </xdr:to>
    <xdr:sp>
      <xdr:nvSpPr>
        <xdr:cNvPr id="41" name="Text Box 6"/>
        <xdr:cNvSpPr txBox="1">
          <a:spLocks noChangeArrowheads="1"/>
        </xdr:cNvSpPr>
      </xdr:nvSpPr>
      <xdr:spPr>
        <a:xfrm>
          <a:off x="8610600" y="4953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12</xdr:col>
      <xdr:colOff>285750</xdr:colOff>
      <xdr:row>8</xdr:row>
      <xdr:rowOff>95250</xdr:rowOff>
    </xdr:from>
    <xdr:to>
      <xdr:col>12</xdr:col>
      <xdr:colOff>428625</xdr:colOff>
      <xdr:row>9</xdr:row>
      <xdr:rowOff>76200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8667750" y="17907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28575</xdr:colOff>
      <xdr:row>3</xdr:row>
      <xdr:rowOff>95250</xdr:rowOff>
    </xdr:from>
    <xdr:to>
      <xdr:col>15</xdr:col>
      <xdr:colOff>9525</xdr:colOff>
      <xdr:row>6</xdr:row>
      <xdr:rowOff>485775</xdr:rowOff>
    </xdr:to>
    <xdr:sp>
      <xdr:nvSpPr>
        <xdr:cNvPr id="43" name="Line 5"/>
        <xdr:cNvSpPr>
          <a:spLocks/>
        </xdr:cNvSpPr>
      </xdr:nvSpPr>
      <xdr:spPr>
        <a:xfrm>
          <a:off x="9934575" y="619125"/>
          <a:ext cx="552450" cy="8763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4</xdr:row>
      <xdr:rowOff>9525</xdr:rowOff>
    </xdr:from>
    <xdr:to>
      <xdr:col>15</xdr:col>
      <xdr:colOff>19050</xdr:colOff>
      <xdr:row>5</xdr:row>
      <xdr:rowOff>57150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0267950" y="6953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9525</xdr:colOff>
      <xdr:row>4</xdr:row>
      <xdr:rowOff>161925</xdr:rowOff>
    </xdr:from>
    <xdr:to>
      <xdr:col>14</xdr:col>
      <xdr:colOff>561975</xdr:colOff>
      <xdr:row>8</xdr:row>
      <xdr:rowOff>66675</xdr:rowOff>
    </xdr:to>
    <xdr:sp>
      <xdr:nvSpPr>
        <xdr:cNvPr id="45" name="Line 5"/>
        <xdr:cNvSpPr>
          <a:spLocks/>
        </xdr:cNvSpPr>
      </xdr:nvSpPr>
      <xdr:spPr>
        <a:xfrm>
          <a:off x="9915525" y="847725"/>
          <a:ext cx="552450" cy="914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5</xdr:row>
      <xdr:rowOff>95250</xdr:rowOff>
    </xdr:from>
    <xdr:to>
      <xdr:col>15</xdr:col>
      <xdr:colOff>257175</xdr:colOff>
      <xdr:row>7</xdr:row>
      <xdr:rowOff>9525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10106025" y="942975"/>
          <a:ext cx="6286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14</xdr:col>
      <xdr:colOff>38100</xdr:colOff>
      <xdr:row>8</xdr:row>
      <xdr:rowOff>66675</xdr:rowOff>
    </xdr:from>
    <xdr:to>
      <xdr:col>15</xdr:col>
      <xdr:colOff>28575</xdr:colOff>
      <xdr:row>9</xdr:row>
      <xdr:rowOff>142875</xdr:rowOff>
    </xdr:to>
    <xdr:sp>
      <xdr:nvSpPr>
        <xdr:cNvPr id="47" name="Line 5"/>
        <xdr:cNvSpPr>
          <a:spLocks/>
        </xdr:cNvSpPr>
      </xdr:nvSpPr>
      <xdr:spPr>
        <a:xfrm>
          <a:off x="9944100" y="1762125"/>
          <a:ext cx="561975" cy="2667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8</xdr:row>
      <xdr:rowOff>133350</xdr:rowOff>
    </xdr:from>
    <xdr:to>
      <xdr:col>15</xdr:col>
      <xdr:colOff>28575</xdr:colOff>
      <xdr:row>9</xdr:row>
      <xdr:rowOff>133350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10277475" y="18288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19050</xdr:colOff>
      <xdr:row>9</xdr:row>
      <xdr:rowOff>76200</xdr:rowOff>
    </xdr:from>
    <xdr:to>
      <xdr:col>15</xdr:col>
      <xdr:colOff>19050</xdr:colOff>
      <xdr:row>10</xdr:row>
      <xdr:rowOff>123825</xdr:rowOff>
    </xdr:to>
    <xdr:sp>
      <xdr:nvSpPr>
        <xdr:cNvPr id="49" name="Line 5"/>
        <xdr:cNvSpPr>
          <a:spLocks/>
        </xdr:cNvSpPr>
      </xdr:nvSpPr>
      <xdr:spPr>
        <a:xfrm>
          <a:off x="9925050" y="1962150"/>
          <a:ext cx="57150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9</xdr:row>
      <xdr:rowOff>161925</xdr:rowOff>
    </xdr:from>
    <xdr:to>
      <xdr:col>14</xdr:col>
      <xdr:colOff>390525</xdr:colOff>
      <xdr:row>11</xdr:row>
      <xdr:rowOff>9525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10115550" y="20478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14</xdr:col>
      <xdr:colOff>85725</xdr:colOff>
      <xdr:row>11</xdr:row>
      <xdr:rowOff>142875</xdr:rowOff>
    </xdr:from>
    <xdr:to>
      <xdr:col>15</xdr:col>
      <xdr:colOff>19050</xdr:colOff>
      <xdr:row>13</xdr:row>
      <xdr:rowOff>76200</xdr:rowOff>
    </xdr:to>
    <xdr:sp>
      <xdr:nvSpPr>
        <xdr:cNvPr id="51" name="Line 5"/>
        <xdr:cNvSpPr>
          <a:spLocks/>
        </xdr:cNvSpPr>
      </xdr:nvSpPr>
      <xdr:spPr>
        <a:xfrm flipV="1">
          <a:off x="9991725" y="2409825"/>
          <a:ext cx="504825" cy="31432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12</xdr:row>
      <xdr:rowOff>9525</xdr:rowOff>
    </xdr:from>
    <xdr:to>
      <xdr:col>14</xdr:col>
      <xdr:colOff>352425</xdr:colOff>
      <xdr:row>13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0029825" y="24669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66675</xdr:colOff>
      <xdr:row>12</xdr:row>
      <xdr:rowOff>123825</xdr:rowOff>
    </xdr:from>
    <xdr:to>
      <xdr:col>15</xdr:col>
      <xdr:colOff>66675</xdr:colOff>
      <xdr:row>14</xdr:row>
      <xdr:rowOff>104775</xdr:rowOff>
    </xdr:to>
    <xdr:sp>
      <xdr:nvSpPr>
        <xdr:cNvPr id="53" name="Line 5"/>
        <xdr:cNvSpPr>
          <a:spLocks/>
        </xdr:cNvSpPr>
      </xdr:nvSpPr>
      <xdr:spPr>
        <a:xfrm flipV="1">
          <a:off x="9972675" y="2581275"/>
          <a:ext cx="571500" cy="3619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13</xdr:row>
      <xdr:rowOff>104775</xdr:rowOff>
    </xdr:from>
    <xdr:to>
      <xdr:col>14</xdr:col>
      <xdr:colOff>352425</xdr:colOff>
      <xdr:row>14</xdr:row>
      <xdr:rowOff>152400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10077450" y="27527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14</xdr:col>
      <xdr:colOff>19050</xdr:colOff>
      <xdr:row>13</xdr:row>
      <xdr:rowOff>152400</xdr:rowOff>
    </xdr:from>
    <xdr:to>
      <xdr:col>14</xdr:col>
      <xdr:colOff>542925</xdr:colOff>
      <xdr:row>18</xdr:row>
      <xdr:rowOff>85725</xdr:rowOff>
    </xdr:to>
    <xdr:sp>
      <xdr:nvSpPr>
        <xdr:cNvPr id="55" name="Line 5"/>
        <xdr:cNvSpPr>
          <a:spLocks/>
        </xdr:cNvSpPr>
      </xdr:nvSpPr>
      <xdr:spPr>
        <a:xfrm flipV="1">
          <a:off x="9925050" y="2800350"/>
          <a:ext cx="523875" cy="92392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15</xdr:row>
      <xdr:rowOff>142875</xdr:rowOff>
    </xdr:from>
    <xdr:to>
      <xdr:col>14</xdr:col>
      <xdr:colOff>333375</xdr:colOff>
      <xdr:row>16</xdr:row>
      <xdr:rowOff>152400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10010775" y="318135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14</xdr:col>
      <xdr:colOff>0</xdr:colOff>
      <xdr:row>15</xdr:row>
      <xdr:rowOff>38100</xdr:rowOff>
    </xdr:from>
    <xdr:to>
      <xdr:col>15</xdr:col>
      <xdr:colOff>47625</xdr:colOff>
      <xdr:row>19</xdr:row>
      <xdr:rowOff>104775</xdr:rowOff>
    </xdr:to>
    <xdr:sp>
      <xdr:nvSpPr>
        <xdr:cNvPr id="57" name="Line 5"/>
        <xdr:cNvSpPr>
          <a:spLocks/>
        </xdr:cNvSpPr>
      </xdr:nvSpPr>
      <xdr:spPr>
        <a:xfrm flipV="1">
          <a:off x="9906000" y="3076575"/>
          <a:ext cx="619125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17</xdr:row>
      <xdr:rowOff>76200</xdr:rowOff>
    </xdr:from>
    <xdr:to>
      <xdr:col>14</xdr:col>
      <xdr:colOff>419100</xdr:colOff>
      <xdr:row>18</xdr:row>
      <xdr:rowOff>104775</xdr:rowOff>
    </xdr:to>
    <xdr:sp>
      <xdr:nvSpPr>
        <xdr:cNvPr id="58" name="Text Box 6"/>
        <xdr:cNvSpPr txBox="1">
          <a:spLocks noChangeArrowheads="1"/>
        </xdr:cNvSpPr>
      </xdr:nvSpPr>
      <xdr:spPr>
        <a:xfrm>
          <a:off x="10144125" y="35147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vail\Hockey\1DIVISIONGRA\D1%202011%202012\Manche%202%20St%20Malo\D1M2___7_Equipes-St%20Malo-3-jou&#23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2:E71"/>
  <sheetViews>
    <sheetView tabSelected="1" zoomScale="80" zoomScaleNormal="80" workbookViewId="0" topLeftCell="A1">
      <selection activeCell="D36" sqref="D36"/>
    </sheetView>
  </sheetViews>
  <sheetFormatPr defaultColWidth="11.421875" defaultRowHeight="12.75"/>
  <cols>
    <col min="1" max="1" width="11.421875" style="241" customWidth="1"/>
    <col min="2" max="2" width="42.57421875" style="17" customWidth="1"/>
    <col min="3" max="3" width="40.421875" style="17" customWidth="1"/>
    <col min="4" max="4" width="22.8515625" style="17" customWidth="1"/>
    <col min="5" max="5" width="11.421875" style="12" customWidth="1"/>
    <col min="6" max="16384" width="11.421875" style="17" customWidth="1"/>
  </cols>
  <sheetData>
    <row r="2" spans="1:2" ht="12.75">
      <c r="A2" s="242"/>
      <c r="B2" s="243"/>
    </row>
    <row r="3" spans="1:2" ht="12.75">
      <c r="A3" s="242"/>
      <c r="B3" s="243"/>
    </row>
    <row r="4" spans="1:3" ht="18.75" customHeight="1">
      <c r="A4" s="244">
        <v>1</v>
      </c>
      <c r="B4" s="245" t="s">
        <v>0</v>
      </c>
      <c r="C4" s="246" t="s">
        <v>1</v>
      </c>
    </row>
    <row r="5" spans="1:3" ht="15.75">
      <c r="A5" s="244">
        <v>2</v>
      </c>
      <c r="B5" s="245" t="s">
        <v>2</v>
      </c>
      <c r="C5" s="246" t="s">
        <v>3</v>
      </c>
    </row>
    <row r="6" spans="1:3" ht="15.75">
      <c r="A6" s="244">
        <v>3</v>
      </c>
      <c r="B6" s="245" t="s">
        <v>4</v>
      </c>
      <c r="C6" s="246" t="s">
        <v>5</v>
      </c>
    </row>
    <row r="7" spans="1:3" ht="15.75">
      <c r="A7" s="244">
        <v>4</v>
      </c>
      <c r="B7" s="245" t="s">
        <v>6</v>
      </c>
      <c r="C7" s="246" t="s">
        <v>7</v>
      </c>
    </row>
    <row r="8" spans="1:5" s="33" customFormat="1" ht="47.25">
      <c r="A8" s="244">
        <v>5</v>
      </c>
      <c r="B8" s="247" t="s">
        <v>8</v>
      </c>
      <c r="C8" s="248" t="s">
        <v>9</v>
      </c>
      <c r="E8" s="249"/>
    </row>
    <row r="9" spans="1:3" ht="31.5">
      <c r="A9" s="244">
        <v>6</v>
      </c>
      <c r="B9" s="245" t="s">
        <v>10</v>
      </c>
      <c r="C9" s="250">
        <v>0.02013888888888889</v>
      </c>
    </row>
    <row r="10" spans="1:3" ht="15.75">
      <c r="A10" s="244"/>
      <c r="B10" s="245"/>
      <c r="C10" s="245"/>
    </row>
    <row r="11" spans="1:3" ht="15.75">
      <c r="A11" s="244"/>
      <c r="B11" s="245"/>
      <c r="C11" s="245"/>
    </row>
    <row r="12" spans="1:2" ht="15.75">
      <c r="A12" s="251"/>
      <c r="B12" s="252"/>
    </row>
    <row r="13" spans="1:3" ht="20.25">
      <c r="A13" s="270" t="s">
        <v>11</v>
      </c>
      <c r="B13" s="270"/>
      <c r="C13" s="253"/>
    </row>
    <row r="14" spans="1:3" ht="15.75">
      <c r="A14" s="254">
        <v>1</v>
      </c>
      <c r="B14" s="255" t="s">
        <v>12</v>
      </c>
      <c r="C14" s="256"/>
    </row>
    <row r="15" spans="1:3" ht="15.75">
      <c r="A15" s="254">
        <v>2</v>
      </c>
      <c r="B15" s="255" t="s">
        <v>13</v>
      </c>
      <c r="C15" s="256"/>
    </row>
    <row r="16" spans="1:3" ht="15.75">
      <c r="A16" s="254">
        <v>3</v>
      </c>
      <c r="B16" s="255" t="s">
        <v>14</v>
      </c>
      <c r="C16" s="256"/>
    </row>
    <row r="17" spans="1:3" ht="15.75">
      <c r="A17" s="254">
        <v>4</v>
      </c>
      <c r="B17" s="255" t="s">
        <v>15</v>
      </c>
      <c r="C17" s="256"/>
    </row>
    <row r="18" spans="1:3" ht="15.75">
      <c r="A18" s="254">
        <v>5</v>
      </c>
      <c r="B18" s="257" t="s">
        <v>16</v>
      </c>
      <c r="C18" s="258"/>
    </row>
    <row r="19" spans="1:3" ht="15.75">
      <c r="A19" s="254">
        <v>6</v>
      </c>
      <c r="B19" s="257" t="s">
        <v>17</v>
      </c>
      <c r="C19" s="258"/>
    </row>
    <row r="20" spans="1:3" ht="15.75">
      <c r="A20" s="254">
        <v>7</v>
      </c>
      <c r="B20" s="257" t="s">
        <v>18</v>
      </c>
      <c r="C20" s="258"/>
    </row>
    <row r="21" spans="1:3" ht="15.75">
      <c r="A21" s="254">
        <v>8</v>
      </c>
      <c r="B21" s="257" t="s">
        <v>19</v>
      </c>
      <c r="C21" s="258"/>
    </row>
    <row r="22" spans="1:3" ht="15.75">
      <c r="A22" s="259">
        <v>9</v>
      </c>
      <c r="B22" s="260" t="s">
        <v>20</v>
      </c>
      <c r="C22" s="258"/>
    </row>
    <row r="23" spans="1:3" ht="15.75">
      <c r="A23" s="259">
        <v>10</v>
      </c>
      <c r="B23" s="260" t="s">
        <v>21</v>
      </c>
      <c r="C23" s="258"/>
    </row>
    <row r="24" ht="15">
      <c r="C24" s="261"/>
    </row>
    <row r="25" spans="1:3" ht="20.25">
      <c r="A25" s="270" t="s">
        <v>22</v>
      </c>
      <c r="B25" s="270"/>
      <c r="C25" s="261"/>
    </row>
    <row r="26" spans="1:3" ht="15.75">
      <c r="A26" s="259">
        <v>1</v>
      </c>
      <c r="B26" s="260" t="s">
        <v>23</v>
      </c>
      <c r="C26" s="261"/>
    </row>
    <row r="27" spans="1:3" ht="15.75">
      <c r="A27" s="259">
        <v>2</v>
      </c>
      <c r="B27" s="260" t="s">
        <v>24</v>
      </c>
      <c r="C27" s="261"/>
    </row>
    <row r="28" spans="1:3" ht="15.75">
      <c r="A28" s="259">
        <v>3</v>
      </c>
      <c r="B28" s="260" t="s">
        <v>25</v>
      </c>
      <c r="C28" s="261"/>
    </row>
    <row r="29" spans="1:3" ht="15.75">
      <c r="A29" s="259">
        <v>4</v>
      </c>
      <c r="B29" s="260" t="s">
        <v>26</v>
      </c>
      <c r="C29" s="261"/>
    </row>
    <row r="30" spans="1:2" ht="15.75">
      <c r="A30" s="259">
        <v>5</v>
      </c>
      <c r="B30" s="260" t="s">
        <v>400</v>
      </c>
    </row>
    <row r="31" spans="1:3" ht="15.75">
      <c r="A31" s="259">
        <v>6</v>
      </c>
      <c r="B31" s="260" t="s">
        <v>27</v>
      </c>
      <c r="C31" s="253"/>
    </row>
    <row r="32" ht="15">
      <c r="C32" s="256"/>
    </row>
    <row r="33" ht="15">
      <c r="C33" s="256"/>
    </row>
    <row r="34" spans="1:3" ht="20.25">
      <c r="A34" s="270" t="s">
        <v>28</v>
      </c>
      <c r="B34" s="270"/>
      <c r="C34" s="256"/>
    </row>
    <row r="35" spans="1:3" ht="15.75">
      <c r="A35" s="262">
        <v>1</v>
      </c>
      <c r="B35" s="263" t="s">
        <v>29</v>
      </c>
      <c r="C35" s="256"/>
    </row>
    <row r="36" spans="1:3" ht="15.75">
      <c r="A36" s="262">
        <v>2</v>
      </c>
      <c r="B36" s="263" t="s">
        <v>30</v>
      </c>
      <c r="C36" s="256"/>
    </row>
    <row r="37" spans="1:3" ht="15.75">
      <c r="A37" s="262">
        <v>3</v>
      </c>
      <c r="B37" s="263" t="s">
        <v>31</v>
      </c>
      <c r="C37" s="256"/>
    </row>
    <row r="38" spans="1:3" ht="15.75">
      <c r="A38" s="262">
        <v>4</v>
      </c>
      <c r="B38" s="263" t="s">
        <v>32</v>
      </c>
      <c r="C38" s="264"/>
    </row>
    <row r="39" spans="1:3" ht="15.75">
      <c r="A39" s="262">
        <v>5</v>
      </c>
      <c r="B39" s="263" t="s">
        <v>33</v>
      </c>
      <c r="C39" s="264"/>
    </row>
    <row r="40" spans="1:2" ht="15.75">
      <c r="A40" s="262">
        <v>6</v>
      </c>
      <c r="B40" s="263" t="s">
        <v>34</v>
      </c>
    </row>
    <row r="42" spans="1:2" ht="20.25">
      <c r="A42" s="270" t="s">
        <v>35</v>
      </c>
      <c r="B42" s="270"/>
    </row>
    <row r="43" spans="1:2" ht="15.75">
      <c r="A43" s="262">
        <v>1</v>
      </c>
      <c r="B43" s="265" t="s">
        <v>401</v>
      </c>
    </row>
    <row r="44" spans="1:2" ht="15.75">
      <c r="A44" s="262">
        <v>2</v>
      </c>
      <c r="B44" s="265" t="s">
        <v>36</v>
      </c>
    </row>
    <row r="47" spans="1:5" ht="15.75">
      <c r="A47" s="271" t="s">
        <v>37</v>
      </c>
      <c r="B47" s="272"/>
      <c r="C47" s="273"/>
      <c r="D47" s="266">
        <v>3</v>
      </c>
      <c r="E47" s="274" t="s">
        <v>38</v>
      </c>
    </row>
    <row r="48" spans="1:5" ht="15.75">
      <c r="A48" s="267"/>
      <c r="B48" s="267" t="s">
        <v>39</v>
      </c>
      <c r="C48" s="267" t="s">
        <v>40</v>
      </c>
      <c r="D48" s="267" t="s">
        <v>41</v>
      </c>
      <c r="E48" s="275"/>
    </row>
    <row r="49" spans="1:5" ht="15">
      <c r="A49" s="38">
        <v>1</v>
      </c>
      <c r="B49" s="268" t="s">
        <v>42</v>
      </c>
      <c r="C49" s="268" t="s">
        <v>43</v>
      </c>
      <c r="D49" s="268" t="s">
        <v>16</v>
      </c>
      <c r="E49" s="269">
        <v>1</v>
      </c>
    </row>
    <row r="50" spans="1:5" ht="15">
      <c r="A50" s="38">
        <v>2</v>
      </c>
      <c r="B50" s="268" t="s">
        <v>44</v>
      </c>
      <c r="C50" s="268" t="s">
        <v>45</v>
      </c>
      <c r="D50" s="268" t="s">
        <v>46</v>
      </c>
      <c r="E50" s="269">
        <v>1</v>
      </c>
    </row>
    <row r="51" spans="1:5" ht="15">
      <c r="A51" s="38">
        <v>3</v>
      </c>
      <c r="B51" s="268" t="s">
        <v>47</v>
      </c>
      <c r="C51" s="268" t="s">
        <v>48</v>
      </c>
      <c r="D51" s="268" t="s">
        <v>15</v>
      </c>
      <c r="E51" s="269">
        <v>1</v>
      </c>
    </row>
    <row r="52" spans="1:5" ht="15">
      <c r="A52" s="38">
        <v>4</v>
      </c>
      <c r="B52" s="268" t="s">
        <v>49</v>
      </c>
      <c r="C52" s="268" t="s">
        <v>50</v>
      </c>
      <c r="D52" s="268" t="s">
        <v>14</v>
      </c>
      <c r="E52" s="269">
        <v>1</v>
      </c>
    </row>
    <row r="53" spans="1:5" ht="15">
      <c r="A53" s="38">
        <v>5</v>
      </c>
      <c r="B53" s="268" t="s">
        <v>51</v>
      </c>
      <c r="C53" s="268" t="s">
        <v>52</v>
      </c>
      <c r="D53" s="268" t="s">
        <v>26</v>
      </c>
      <c r="E53" s="269">
        <v>1</v>
      </c>
    </row>
    <row r="54" spans="1:5" ht="15">
      <c r="A54" s="38">
        <v>6</v>
      </c>
      <c r="B54" s="268" t="s">
        <v>53</v>
      </c>
      <c r="C54" s="268" t="s">
        <v>54</v>
      </c>
      <c r="D54" s="268" t="s">
        <v>21</v>
      </c>
      <c r="E54" s="269">
        <v>1</v>
      </c>
    </row>
    <row r="55" spans="1:5" ht="15">
      <c r="A55" s="38">
        <v>7</v>
      </c>
      <c r="B55" s="268" t="s">
        <v>55</v>
      </c>
      <c r="C55" s="268" t="s">
        <v>56</v>
      </c>
      <c r="D55" s="268" t="s">
        <v>13</v>
      </c>
      <c r="E55" s="269">
        <v>1</v>
      </c>
    </row>
    <row r="56" spans="1:5" ht="15">
      <c r="A56" s="38">
        <v>8</v>
      </c>
      <c r="B56" s="268" t="s">
        <v>57</v>
      </c>
      <c r="C56" s="268" t="s">
        <v>54</v>
      </c>
      <c r="D56" s="268" t="s">
        <v>20</v>
      </c>
      <c r="E56" s="269">
        <v>1</v>
      </c>
    </row>
    <row r="57" spans="1:5" ht="15">
      <c r="A57" s="38">
        <v>9</v>
      </c>
      <c r="B57" s="268" t="s">
        <v>58</v>
      </c>
      <c r="C57" s="268" t="s">
        <v>59</v>
      </c>
      <c r="D57" s="268" t="s">
        <v>60</v>
      </c>
      <c r="E57" s="269">
        <v>1</v>
      </c>
    </row>
    <row r="58" spans="1:5" ht="15">
      <c r="A58" s="38">
        <v>10</v>
      </c>
      <c r="B58" s="268" t="s">
        <v>61</v>
      </c>
      <c r="C58" s="268" t="s">
        <v>43</v>
      </c>
      <c r="D58" s="268" t="s">
        <v>16</v>
      </c>
      <c r="E58" s="269">
        <v>2</v>
      </c>
    </row>
    <row r="59" spans="1:5" ht="15">
      <c r="A59" s="38">
        <v>11</v>
      </c>
      <c r="B59" s="268" t="s">
        <v>62</v>
      </c>
      <c r="C59" s="268" t="s">
        <v>45</v>
      </c>
      <c r="D59" s="268" t="s">
        <v>46</v>
      </c>
      <c r="E59" s="269">
        <v>2</v>
      </c>
    </row>
    <row r="60" spans="1:5" ht="15">
      <c r="A60" s="38">
        <v>12</v>
      </c>
      <c r="B60" s="268" t="s">
        <v>63</v>
      </c>
      <c r="C60" s="268" t="s">
        <v>48</v>
      </c>
      <c r="D60" s="268" t="s">
        <v>15</v>
      </c>
      <c r="E60" s="269">
        <v>2</v>
      </c>
    </row>
    <row r="61" spans="1:5" ht="15">
      <c r="A61" s="38">
        <v>13</v>
      </c>
      <c r="B61" s="268" t="s">
        <v>64</v>
      </c>
      <c r="C61" s="268" t="s">
        <v>50</v>
      </c>
      <c r="D61" s="268" t="s">
        <v>14</v>
      </c>
      <c r="E61" s="269">
        <v>2</v>
      </c>
    </row>
    <row r="62" spans="1:5" ht="15">
      <c r="A62" s="38">
        <v>14</v>
      </c>
      <c r="B62" s="268" t="s">
        <v>65</v>
      </c>
      <c r="C62" s="268" t="s">
        <v>52</v>
      </c>
      <c r="D62" s="268" t="s">
        <v>26</v>
      </c>
      <c r="E62" s="269">
        <v>2</v>
      </c>
    </row>
    <row r="63" spans="1:5" ht="15">
      <c r="A63" s="38">
        <v>15</v>
      </c>
      <c r="B63" s="268" t="s">
        <v>66</v>
      </c>
      <c r="C63" s="268" t="s">
        <v>54</v>
      </c>
      <c r="D63" s="268" t="s">
        <v>21</v>
      </c>
      <c r="E63" s="269">
        <v>2</v>
      </c>
    </row>
    <row r="64" spans="1:5" ht="15">
      <c r="A64" s="38">
        <v>16</v>
      </c>
      <c r="B64" s="268" t="s">
        <v>67</v>
      </c>
      <c r="C64" s="268" t="s">
        <v>56</v>
      </c>
      <c r="D64" s="268" t="s">
        <v>13</v>
      </c>
      <c r="E64" s="269">
        <v>2</v>
      </c>
    </row>
    <row r="65" spans="1:5" ht="15">
      <c r="A65" s="38">
        <v>17</v>
      </c>
      <c r="B65" s="268" t="s">
        <v>68</v>
      </c>
      <c r="C65" s="268" t="s">
        <v>54</v>
      </c>
      <c r="D65" s="268" t="s">
        <v>20</v>
      </c>
      <c r="E65" s="269">
        <v>2</v>
      </c>
    </row>
    <row r="66" spans="1:5" ht="15">
      <c r="A66" s="38">
        <v>18</v>
      </c>
      <c r="B66" s="268" t="s">
        <v>69</v>
      </c>
      <c r="C66" s="268" t="s">
        <v>59</v>
      </c>
      <c r="D66" s="268" t="s">
        <v>60</v>
      </c>
      <c r="E66" s="269">
        <v>2</v>
      </c>
    </row>
    <row r="67" spans="1:5" ht="15">
      <c r="A67" s="38">
        <v>19</v>
      </c>
      <c r="B67" s="268"/>
      <c r="C67" s="268"/>
      <c r="D67" s="268"/>
      <c r="E67" s="269"/>
    </row>
    <row r="68" spans="1:5" ht="15">
      <c r="A68" s="38">
        <v>20</v>
      </c>
      <c r="B68" s="268"/>
      <c r="C68" s="268"/>
      <c r="D68" s="268"/>
      <c r="E68" s="269"/>
    </row>
    <row r="69" spans="1:5" ht="15">
      <c r="A69" s="38">
        <v>21</v>
      </c>
      <c r="B69" s="268"/>
      <c r="C69" s="268"/>
      <c r="D69" s="268"/>
      <c r="E69" s="269"/>
    </row>
    <row r="70" spans="1:5" ht="15">
      <c r="A70" s="38">
        <v>22</v>
      </c>
      <c r="B70" s="268"/>
      <c r="C70" s="268"/>
      <c r="D70" s="268"/>
      <c r="E70" s="269"/>
    </row>
    <row r="71" spans="1:5" ht="15">
      <c r="A71" s="38">
        <v>23</v>
      </c>
      <c r="B71" s="268"/>
      <c r="C71" s="268"/>
      <c r="D71" s="268"/>
      <c r="E71" s="269"/>
    </row>
  </sheetData>
  <sheetProtection/>
  <mergeCells count="6">
    <mergeCell ref="A13:B13"/>
    <mergeCell ref="A25:B25"/>
    <mergeCell ref="A34:B34"/>
    <mergeCell ref="A42:B42"/>
    <mergeCell ref="A47:C47"/>
    <mergeCell ref="E47:E48"/>
  </mergeCells>
  <dataValidations count="2">
    <dataValidation type="list" allowBlank="1" showInputMessage="1" showErrorMessage="1" sqref="D47">
      <formula1>"0,2,3,4"</formula1>
    </dataValidation>
    <dataValidation type="list" allowBlank="1" showInputMessage="1" showErrorMessage="1" sqref="E49:E71">
      <formula1>",1,2"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P43"/>
  <sheetViews>
    <sheetView workbookViewId="0" topLeftCell="A1">
      <selection activeCell="R25" sqref="R25"/>
    </sheetView>
  </sheetViews>
  <sheetFormatPr defaultColWidth="11.421875" defaultRowHeight="12.75"/>
  <cols>
    <col min="1" max="6" width="11.421875" style="1" customWidth="1"/>
    <col min="7" max="7" width="6.7109375" style="1" customWidth="1"/>
    <col min="8" max="8" width="11.421875" style="1" customWidth="1"/>
    <col min="9" max="9" width="8.57421875" style="1" customWidth="1"/>
    <col min="10" max="10" width="13.28125" style="1" customWidth="1"/>
    <col min="11" max="11" width="3.421875" style="1" customWidth="1"/>
    <col min="12" max="12" width="13.7109375" style="1" customWidth="1"/>
    <col min="13" max="13" width="8.7109375" style="1" customWidth="1"/>
    <col min="14" max="14" width="14.140625" style="1" customWidth="1"/>
    <col min="15" max="15" width="8.57421875" style="1" customWidth="1"/>
    <col min="16" max="16384" width="11.421875" style="1" customWidth="1"/>
  </cols>
  <sheetData>
    <row r="1" spans="1:16" ht="15.75">
      <c r="A1" s="346" t="s">
        <v>368</v>
      </c>
      <c r="B1" s="346"/>
      <c r="C1" s="346"/>
      <c r="D1" s="2"/>
      <c r="E1" s="2"/>
      <c r="F1" s="2"/>
      <c r="G1" s="2"/>
      <c r="H1" s="2"/>
      <c r="I1" s="347" t="s">
        <v>369</v>
      </c>
      <c r="J1" s="347"/>
      <c r="K1" s="347"/>
      <c r="L1" s="347"/>
      <c r="M1" s="2"/>
      <c r="N1" s="2"/>
      <c r="O1" s="2"/>
      <c r="P1" s="6"/>
    </row>
    <row r="2" spans="1:16" ht="12.75">
      <c r="A2" s="3"/>
      <c r="B2" s="3"/>
      <c r="C2" s="3"/>
      <c r="D2" s="2"/>
      <c r="E2" s="2"/>
      <c r="F2" s="2"/>
      <c r="G2" s="2"/>
      <c r="H2" s="2"/>
      <c r="I2" s="2"/>
      <c r="J2" s="6"/>
      <c r="K2" s="6"/>
      <c r="L2" s="6"/>
      <c r="M2" s="6"/>
      <c r="N2" s="6"/>
      <c r="O2" s="6"/>
      <c r="P2" s="6"/>
    </row>
    <row r="3" spans="1:16" ht="12.75">
      <c r="A3" s="3"/>
      <c r="B3" s="3"/>
      <c r="C3" s="3"/>
      <c r="D3" s="2"/>
      <c r="E3" s="2"/>
      <c r="F3" s="2"/>
      <c r="G3" s="2"/>
      <c r="H3" s="8">
        <v>149</v>
      </c>
      <c r="I3" s="8"/>
      <c r="J3" s="14"/>
      <c r="K3" s="14"/>
      <c r="L3" s="8">
        <v>153</v>
      </c>
      <c r="M3" s="2"/>
      <c r="N3" s="8">
        <v>161</v>
      </c>
      <c r="O3" s="6"/>
      <c r="P3" s="6"/>
    </row>
    <row r="4" spans="1:16" ht="12.75">
      <c r="A4" s="3"/>
      <c r="B4" s="3"/>
      <c r="C4" s="3"/>
      <c r="D4" s="2"/>
      <c r="E4" s="2"/>
      <c r="F4" s="2"/>
      <c r="G4" s="2"/>
      <c r="H4" s="5" t="s">
        <v>122</v>
      </c>
      <c r="I4" s="2"/>
      <c r="J4" s="6"/>
      <c r="K4" s="2"/>
      <c r="L4" s="5" t="s">
        <v>131</v>
      </c>
      <c r="M4" s="2"/>
      <c r="N4" s="5" t="s">
        <v>147</v>
      </c>
      <c r="O4" s="2"/>
      <c r="P4" s="6"/>
    </row>
    <row r="5" spans="1:16" ht="12.75">
      <c r="A5" s="3"/>
      <c r="B5" s="3"/>
      <c r="C5" s="3"/>
      <c r="D5" s="2"/>
      <c r="E5" s="2"/>
      <c r="F5" s="2"/>
      <c r="G5" s="2"/>
      <c r="H5" s="5" t="s">
        <v>123</v>
      </c>
      <c r="I5" s="2"/>
      <c r="J5" s="6"/>
      <c r="K5" s="2"/>
      <c r="L5" s="5" t="s">
        <v>130</v>
      </c>
      <c r="M5" s="2"/>
      <c r="N5" s="5" t="s">
        <v>146</v>
      </c>
      <c r="O5" s="2"/>
      <c r="P5" s="6"/>
    </row>
    <row r="6" spans="1:16" ht="12.75">
      <c r="A6" s="6"/>
      <c r="B6" s="6"/>
      <c r="C6" s="6"/>
      <c r="D6" s="2"/>
      <c r="E6" s="2"/>
      <c r="F6" s="2"/>
      <c r="G6" s="2"/>
      <c r="H6" s="2"/>
      <c r="I6" s="2"/>
      <c r="J6" s="6"/>
      <c r="K6" s="2"/>
      <c r="L6" s="2"/>
      <c r="M6" s="2"/>
      <c r="N6" s="2"/>
      <c r="O6" s="2"/>
      <c r="P6" s="6"/>
    </row>
    <row r="7" spans="1:16" ht="38.25">
      <c r="A7" s="348" t="s">
        <v>370</v>
      </c>
      <c r="B7" s="6"/>
      <c r="C7" s="6"/>
      <c r="D7" s="2"/>
      <c r="E7" s="2"/>
      <c r="F7" s="2"/>
      <c r="G7" s="2"/>
      <c r="H7" s="2"/>
      <c r="I7" s="2"/>
      <c r="J7" s="6"/>
      <c r="K7" s="2"/>
      <c r="L7" s="2"/>
      <c r="M7" s="2"/>
      <c r="N7" s="2"/>
      <c r="O7" s="2"/>
      <c r="P7" s="6"/>
    </row>
    <row r="8" spans="1:16" ht="15.75">
      <c r="A8" s="349"/>
      <c r="B8" s="7" t="s">
        <v>371</v>
      </c>
      <c r="C8" s="6"/>
      <c r="D8" s="2"/>
      <c r="E8" s="2"/>
      <c r="F8" s="2"/>
      <c r="G8" s="2"/>
      <c r="H8" s="8">
        <v>148</v>
      </c>
      <c r="I8" s="8"/>
      <c r="J8" s="8">
        <v>151</v>
      </c>
      <c r="K8" s="2"/>
      <c r="L8" s="2"/>
      <c r="M8" s="2"/>
      <c r="N8" s="8">
        <v>260</v>
      </c>
      <c r="O8" s="2"/>
      <c r="P8" s="13" t="s">
        <v>372</v>
      </c>
    </row>
    <row r="9" spans="1:16" ht="15">
      <c r="A9" s="9" t="s">
        <v>93</v>
      </c>
      <c r="B9" s="10" t="s">
        <v>373</v>
      </c>
      <c r="C9" s="6"/>
      <c r="D9" s="2" t="s">
        <v>116</v>
      </c>
      <c r="E9" s="2"/>
      <c r="F9" s="2"/>
      <c r="G9" s="2"/>
      <c r="H9" s="5" t="s">
        <v>120</v>
      </c>
      <c r="I9" s="2"/>
      <c r="J9" s="5" t="s">
        <v>127</v>
      </c>
      <c r="K9" s="2"/>
      <c r="L9" s="2"/>
      <c r="M9" s="2"/>
      <c r="N9" s="5" t="s">
        <v>143</v>
      </c>
      <c r="O9" s="2"/>
      <c r="P9" s="13" t="s">
        <v>374</v>
      </c>
    </row>
    <row r="10" spans="1:16" ht="15">
      <c r="A10" s="9" t="s">
        <v>94</v>
      </c>
      <c r="B10" s="10" t="s">
        <v>375</v>
      </c>
      <c r="C10" s="6"/>
      <c r="D10" s="2" t="s">
        <v>376</v>
      </c>
      <c r="E10" s="2"/>
      <c r="F10" s="2"/>
      <c r="G10" s="2"/>
      <c r="H10" s="5" t="s">
        <v>121</v>
      </c>
      <c r="I10" s="2"/>
      <c r="J10" s="5" t="s">
        <v>126</v>
      </c>
      <c r="K10" s="2"/>
      <c r="L10" s="2"/>
      <c r="M10" s="2"/>
      <c r="N10" s="5" t="s">
        <v>142</v>
      </c>
      <c r="O10" s="2"/>
      <c r="P10" s="13" t="s">
        <v>377</v>
      </c>
    </row>
    <row r="11" spans="1:16" ht="15">
      <c r="A11" s="9" t="s">
        <v>95</v>
      </c>
      <c r="B11" s="10" t="s">
        <v>378</v>
      </c>
      <c r="C11" s="6"/>
      <c r="D11" s="2" t="s">
        <v>120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3" t="s">
        <v>379</v>
      </c>
    </row>
    <row r="12" spans="1:16" ht="15">
      <c r="A12" s="9" t="s">
        <v>96</v>
      </c>
      <c r="B12" s="10" t="s">
        <v>380</v>
      </c>
      <c r="C12" s="6"/>
      <c r="D12" s="2" t="s">
        <v>118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" t="s">
        <v>381</v>
      </c>
    </row>
    <row r="13" spans="1:16" ht="15">
      <c r="A13" s="9" t="s">
        <v>97</v>
      </c>
      <c r="B13" s="10" t="s">
        <v>382</v>
      </c>
      <c r="C13" s="6"/>
      <c r="D13" s="2" t="s">
        <v>119</v>
      </c>
      <c r="E13" s="2"/>
      <c r="F13" s="2"/>
      <c r="G13" s="2"/>
      <c r="H13" s="8">
        <v>147</v>
      </c>
      <c r="I13" s="8"/>
      <c r="J13" s="8"/>
      <c r="K13" s="8"/>
      <c r="L13" s="8">
        <v>152</v>
      </c>
      <c r="M13" s="2"/>
      <c r="N13" s="8">
        <v>157</v>
      </c>
      <c r="O13" s="2"/>
      <c r="P13" s="13" t="s">
        <v>383</v>
      </c>
    </row>
    <row r="14" spans="1:16" ht="15">
      <c r="A14" s="9" t="s">
        <v>98</v>
      </c>
      <c r="B14" s="10" t="s">
        <v>384</v>
      </c>
      <c r="C14" s="6"/>
      <c r="D14" s="2" t="s">
        <v>121</v>
      </c>
      <c r="E14" s="2"/>
      <c r="F14" s="2"/>
      <c r="G14" s="2"/>
      <c r="H14" s="5" t="s">
        <v>118</v>
      </c>
      <c r="I14" s="2"/>
      <c r="J14" s="2"/>
      <c r="K14" s="2"/>
      <c r="L14" s="5" t="s">
        <v>129</v>
      </c>
      <c r="M14" s="2"/>
      <c r="N14" s="5" t="s">
        <v>139</v>
      </c>
      <c r="O14" s="2"/>
      <c r="P14" s="13" t="s">
        <v>385</v>
      </c>
    </row>
    <row r="15" spans="1:16" ht="15.75" customHeight="1">
      <c r="A15" s="9" t="s">
        <v>99</v>
      </c>
      <c r="B15" s="10" t="s">
        <v>386</v>
      </c>
      <c r="C15" s="6"/>
      <c r="D15" s="2" t="s">
        <v>123</v>
      </c>
      <c r="E15" s="2"/>
      <c r="F15" s="2"/>
      <c r="G15" s="2"/>
      <c r="H15" s="5" t="s">
        <v>119</v>
      </c>
      <c r="I15" s="2"/>
      <c r="J15" s="2"/>
      <c r="K15" s="2"/>
      <c r="L15" s="5" t="s">
        <v>128</v>
      </c>
      <c r="M15" s="2"/>
      <c r="N15" s="5" t="s">
        <v>138</v>
      </c>
      <c r="O15" s="2"/>
      <c r="P15" s="13" t="s">
        <v>387</v>
      </c>
    </row>
    <row r="16" spans="1:16" ht="15.75" customHeight="1">
      <c r="A16" s="9" t="s">
        <v>100</v>
      </c>
      <c r="B16" s="10" t="s">
        <v>388</v>
      </c>
      <c r="C16" s="6"/>
      <c r="D16" s="2" t="s">
        <v>117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/>
    </row>
    <row r="17" spans="1:16" ht="15.75" customHeight="1">
      <c r="A17" s="6"/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/>
    </row>
    <row r="18" spans="1:16" ht="15.75" customHeight="1">
      <c r="A18" s="6"/>
      <c r="B18" s="6"/>
      <c r="C18" s="6"/>
      <c r="D18" s="2"/>
      <c r="E18" s="15" t="s">
        <v>389</v>
      </c>
      <c r="F18" s="2"/>
      <c r="G18" s="2"/>
      <c r="H18" s="8">
        <v>146</v>
      </c>
      <c r="I18" s="8"/>
      <c r="J18" s="8">
        <v>150</v>
      </c>
      <c r="K18" s="2"/>
      <c r="L18" s="6"/>
      <c r="M18" s="2"/>
      <c r="N18" s="8">
        <v>155</v>
      </c>
      <c r="O18" s="2"/>
      <c r="P18" s="6"/>
    </row>
    <row r="19" spans="1:16" ht="15.75" customHeight="1">
      <c r="A19" s="6"/>
      <c r="B19" s="6"/>
      <c r="C19" s="6"/>
      <c r="D19" s="2"/>
      <c r="E19" s="8"/>
      <c r="F19" s="2"/>
      <c r="G19" s="2"/>
      <c r="H19" s="5" t="s">
        <v>116</v>
      </c>
      <c r="I19" s="2"/>
      <c r="J19" s="5" t="s">
        <v>125</v>
      </c>
      <c r="K19" s="2"/>
      <c r="L19" s="6"/>
      <c r="M19" s="2"/>
      <c r="N19" s="5" t="s">
        <v>135</v>
      </c>
      <c r="O19" s="2"/>
      <c r="P19" s="6"/>
    </row>
    <row r="20" spans="1:16" ht="15.75" customHeight="1">
      <c r="A20" s="6"/>
      <c r="B20" s="6"/>
      <c r="C20" s="6"/>
      <c r="D20" s="2">
        <v>145</v>
      </c>
      <c r="E20" s="5" t="s">
        <v>207</v>
      </c>
      <c r="F20" s="2"/>
      <c r="G20" s="2"/>
      <c r="H20" s="5" t="s">
        <v>117</v>
      </c>
      <c r="I20" s="11"/>
      <c r="J20" s="5" t="s">
        <v>124</v>
      </c>
      <c r="K20" s="6"/>
      <c r="L20" s="6"/>
      <c r="M20" s="11"/>
      <c r="N20" s="5" t="s">
        <v>134</v>
      </c>
      <c r="O20" s="6"/>
      <c r="P20" s="6"/>
    </row>
    <row r="21" spans="1:16" ht="12.75">
      <c r="A21" s="6"/>
      <c r="B21" s="6"/>
      <c r="C21" s="6"/>
      <c r="D21" s="2"/>
      <c r="E21" s="5" t="s">
        <v>209</v>
      </c>
      <c r="F21" s="2"/>
      <c r="G21" s="2"/>
      <c r="H21" s="11"/>
      <c r="I21" s="11"/>
      <c r="J21" s="6"/>
      <c r="K21" s="6"/>
      <c r="L21" s="6"/>
      <c r="M21" s="6"/>
      <c r="N21" s="6"/>
      <c r="O21" s="6"/>
      <c r="P21" s="6"/>
    </row>
    <row r="22" ht="12.75">
      <c r="E22" s="16"/>
    </row>
    <row r="23" spans="1:16" ht="15.75">
      <c r="A23" s="346" t="s">
        <v>390</v>
      </c>
      <c r="B23" s="346"/>
      <c r="C23" s="346"/>
      <c r="D23" s="2">
        <v>245</v>
      </c>
      <c r="E23" s="5" t="s">
        <v>208</v>
      </c>
      <c r="F23" s="2"/>
      <c r="G23" s="2"/>
      <c r="H23" s="2"/>
      <c r="I23" s="347" t="s">
        <v>369</v>
      </c>
      <c r="J23" s="347"/>
      <c r="K23" s="347"/>
      <c r="L23" s="347"/>
      <c r="M23" s="2"/>
      <c r="N23" s="2"/>
      <c r="O23" s="2"/>
      <c r="P23" s="6"/>
    </row>
    <row r="24" spans="1:16" ht="12.75">
      <c r="A24" s="3"/>
      <c r="B24" s="3"/>
      <c r="C24" s="3"/>
      <c r="D24" s="2"/>
      <c r="E24" s="5" t="s">
        <v>210</v>
      </c>
      <c r="F24" s="2"/>
      <c r="G24" s="2"/>
      <c r="H24" s="8">
        <v>249</v>
      </c>
      <c r="I24" s="8"/>
      <c r="J24" s="14"/>
      <c r="K24" s="14"/>
      <c r="L24" s="8">
        <v>255</v>
      </c>
      <c r="M24" s="8"/>
      <c r="N24" s="8">
        <v>160</v>
      </c>
      <c r="O24" s="6"/>
      <c r="P24" s="6"/>
    </row>
    <row r="25" spans="1:16" ht="12.75">
      <c r="A25" s="3"/>
      <c r="B25" s="3"/>
      <c r="C25" s="3"/>
      <c r="D25" s="2"/>
      <c r="E25" s="2"/>
      <c r="F25" s="2"/>
      <c r="G25" s="2"/>
      <c r="H25" s="5" t="s">
        <v>172</v>
      </c>
      <c r="I25" s="2"/>
      <c r="J25" s="6"/>
      <c r="K25" s="2"/>
      <c r="L25" s="5" t="s">
        <v>184</v>
      </c>
      <c r="M25" s="2"/>
      <c r="N25" s="5" t="s">
        <v>145</v>
      </c>
      <c r="O25" s="2"/>
      <c r="P25" s="6"/>
    </row>
    <row r="26" spans="1:16" ht="12.75">
      <c r="A26" s="3"/>
      <c r="B26" s="3"/>
      <c r="C26" s="3"/>
      <c r="D26" s="2"/>
      <c r="E26" s="2"/>
      <c r="F26" s="2"/>
      <c r="G26" s="2"/>
      <c r="H26" s="5" t="s">
        <v>173</v>
      </c>
      <c r="I26" s="2"/>
      <c r="J26" s="6"/>
      <c r="K26" s="2"/>
      <c r="L26" s="5" t="s">
        <v>185</v>
      </c>
      <c r="M26" s="2"/>
      <c r="N26" s="5" t="s">
        <v>144</v>
      </c>
      <c r="O26" s="2"/>
      <c r="P26" s="6"/>
    </row>
    <row r="27" spans="1:16" ht="12.75">
      <c r="A27" s="6"/>
      <c r="B27" s="6"/>
      <c r="C27" s="6"/>
      <c r="D27" s="2"/>
      <c r="E27" s="2"/>
      <c r="F27" s="2"/>
      <c r="G27" s="2"/>
      <c r="H27" s="2"/>
      <c r="I27" s="2"/>
      <c r="J27" s="6"/>
      <c r="K27" s="2"/>
      <c r="L27" s="2"/>
      <c r="M27" s="2"/>
      <c r="N27" s="2"/>
      <c r="O27" s="2"/>
      <c r="P27" s="6"/>
    </row>
    <row r="28" spans="1:16" ht="38.25">
      <c r="A28" s="348" t="s">
        <v>370</v>
      </c>
      <c r="B28" s="6"/>
      <c r="C28" s="6"/>
      <c r="D28" s="2"/>
      <c r="E28" s="2"/>
      <c r="F28" s="2"/>
      <c r="G28" s="2"/>
      <c r="H28" s="2"/>
      <c r="I28" s="2"/>
      <c r="J28" s="6"/>
      <c r="K28" s="2"/>
      <c r="L28" s="2"/>
      <c r="M28" s="2"/>
      <c r="N28" s="2"/>
      <c r="O28" s="2"/>
      <c r="P28" s="6"/>
    </row>
    <row r="29" spans="1:16" ht="15.75">
      <c r="A29" s="349"/>
      <c r="B29" s="7" t="s">
        <v>371</v>
      </c>
      <c r="C29" s="6"/>
      <c r="D29" s="2"/>
      <c r="E29" s="2"/>
      <c r="F29" s="2"/>
      <c r="G29" s="2"/>
      <c r="H29" s="8">
        <v>248</v>
      </c>
      <c r="I29" s="8"/>
      <c r="J29" s="8">
        <v>254</v>
      </c>
      <c r="K29" s="8"/>
      <c r="L29" s="8"/>
      <c r="M29" s="8"/>
      <c r="N29" s="8">
        <v>158</v>
      </c>
      <c r="O29" s="2"/>
      <c r="P29" s="13" t="s">
        <v>372</v>
      </c>
    </row>
    <row r="30" spans="1:16" ht="15">
      <c r="A30" s="9" t="s">
        <v>107</v>
      </c>
      <c r="B30" s="10" t="s">
        <v>391</v>
      </c>
      <c r="C30" s="6"/>
      <c r="D30" s="2" t="s">
        <v>166</v>
      </c>
      <c r="E30" s="2"/>
      <c r="F30" s="2"/>
      <c r="G30" s="2"/>
      <c r="H30" s="5" t="s">
        <v>170</v>
      </c>
      <c r="I30" s="2"/>
      <c r="J30" s="5" t="s">
        <v>182</v>
      </c>
      <c r="K30" s="2"/>
      <c r="L30" s="2"/>
      <c r="M30" s="2"/>
      <c r="N30" s="5" t="s">
        <v>141</v>
      </c>
      <c r="O30" s="2"/>
      <c r="P30" s="13" t="s">
        <v>374</v>
      </c>
    </row>
    <row r="31" spans="1:16" ht="15">
      <c r="A31" s="9" t="s">
        <v>102</v>
      </c>
      <c r="B31" s="10" t="s">
        <v>392</v>
      </c>
      <c r="C31" s="6"/>
      <c r="D31" s="2" t="s">
        <v>172</v>
      </c>
      <c r="E31" s="2"/>
      <c r="F31" s="2"/>
      <c r="G31" s="2"/>
      <c r="H31" s="5" t="s">
        <v>171</v>
      </c>
      <c r="I31" s="2"/>
      <c r="J31" s="5" t="s">
        <v>183</v>
      </c>
      <c r="K31" s="2"/>
      <c r="L31" s="2"/>
      <c r="M31" s="2"/>
      <c r="N31" s="5" t="s">
        <v>140</v>
      </c>
      <c r="O31" s="2"/>
      <c r="P31" s="13" t="s">
        <v>377</v>
      </c>
    </row>
    <row r="32" spans="1:16" ht="15">
      <c r="A32" s="9" t="s">
        <v>103</v>
      </c>
      <c r="B32" s="10" t="s">
        <v>393</v>
      </c>
      <c r="C32" s="6"/>
      <c r="D32" s="2" t="s">
        <v>170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3" t="s">
        <v>379</v>
      </c>
    </row>
    <row r="33" spans="1:16" ht="15">
      <c r="A33" s="9" t="s">
        <v>104</v>
      </c>
      <c r="B33" s="10" t="s">
        <v>394</v>
      </c>
      <c r="C33" s="6"/>
      <c r="D33" s="2" t="s">
        <v>168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3" t="s">
        <v>381</v>
      </c>
    </row>
    <row r="34" spans="1:16" ht="15">
      <c r="A34" s="9" t="s">
        <v>108</v>
      </c>
      <c r="B34" s="10" t="s">
        <v>395</v>
      </c>
      <c r="C34" s="6"/>
      <c r="D34" s="2" t="s">
        <v>169</v>
      </c>
      <c r="E34" s="2"/>
      <c r="F34" s="2"/>
      <c r="G34" s="2"/>
      <c r="H34" s="8">
        <v>247</v>
      </c>
      <c r="I34" s="8"/>
      <c r="J34" s="8"/>
      <c r="K34" s="8"/>
      <c r="L34" s="8">
        <v>156</v>
      </c>
      <c r="M34" s="8"/>
      <c r="N34" s="8">
        <v>259</v>
      </c>
      <c r="O34" s="2"/>
      <c r="P34" s="13" t="s">
        <v>383</v>
      </c>
    </row>
    <row r="35" spans="1:16" ht="15">
      <c r="A35" s="9" t="s">
        <v>109</v>
      </c>
      <c r="B35" s="10" t="s">
        <v>396</v>
      </c>
      <c r="C35" s="6"/>
      <c r="D35" s="2" t="s">
        <v>171</v>
      </c>
      <c r="E35" s="2"/>
      <c r="F35" s="2"/>
      <c r="G35" s="2"/>
      <c r="H35" s="5" t="s">
        <v>168</v>
      </c>
      <c r="I35" s="2"/>
      <c r="J35" s="2"/>
      <c r="K35" s="2"/>
      <c r="L35" s="5" t="s">
        <v>136</v>
      </c>
      <c r="M35" s="2"/>
      <c r="N35" s="5" t="s">
        <v>193</v>
      </c>
      <c r="O35" s="2"/>
      <c r="P35" s="13" t="s">
        <v>385</v>
      </c>
    </row>
    <row r="36" spans="1:16" ht="15">
      <c r="A36" s="9" t="s">
        <v>110</v>
      </c>
      <c r="B36" s="10" t="s">
        <v>397</v>
      </c>
      <c r="C36" s="6"/>
      <c r="D36" s="2" t="s">
        <v>173</v>
      </c>
      <c r="E36" s="2"/>
      <c r="F36" s="2"/>
      <c r="G36" s="2"/>
      <c r="H36" s="5" t="s">
        <v>169</v>
      </c>
      <c r="I36" s="2"/>
      <c r="J36" s="2"/>
      <c r="K36" s="2"/>
      <c r="L36" s="5" t="s">
        <v>137</v>
      </c>
      <c r="M36" s="2"/>
      <c r="N36" s="5" t="s">
        <v>192</v>
      </c>
      <c r="O36" s="2"/>
      <c r="P36" s="13" t="s">
        <v>387</v>
      </c>
    </row>
    <row r="37" spans="1:16" ht="12.75">
      <c r="A37" s="9" t="s">
        <v>111</v>
      </c>
      <c r="B37" s="10" t="s">
        <v>398</v>
      </c>
      <c r="C37" s="6"/>
      <c r="D37" s="2" t="s">
        <v>167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6"/>
    </row>
    <row r="38" spans="1:16" ht="12.75">
      <c r="A38" s="6"/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"/>
    </row>
    <row r="39" spans="1:16" ht="12.75">
      <c r="A39" s="6"/>
      <c r="B39" s="6"/>
      <c r="C39" s="6"/>
      <c r="D39" s="2"/>
      <c r="E39" s="2"/>
      <c r="F39" s="2"/>
      <c r="G39" s="2"/>
      <c r="H39" s="8">
        <v>246</v>
      </c>
      <c r="I39" s="8"/>
      <c r="J39" s="8">
        <v>154</v>
      </c>
      <c r="K39" s="8"/>
      <c r="L39" s="14"/>
      <c r="M39" s="8"/>
      <c r="N39" s="8">
        <v>257</v>
      </c>
      <c r="O39" s="2"/>
      <c r="P39" s="6"/>
    </row>
    <row r="40" spans="1:16" ht="12.75">
      <c r="A40" s="6"/>
      <c r="B40" s="6"/>
      <c r="C40" s="6"/>
      <c r="D40" s="2"/>
      <c r="E40" s="2"/>
      <c r="F40" s="2"/>
      <c r="G40" s="2"/>
      <c r="H40" s="5" t="s">
        <v>166</v>
      </c>
      <c r="I40" s="2"/>
      <c r="J40" s="5" t="s">
        <v>132</v>
      </c>
      <c r="K40" s="2"/>
      <c r="L40" s="6"/>
      <c r="M40" s="2"/>
      <c r="N40" s="5" t="s">
        <v>189</v>
      </c>
      <c r="O40" s="2"/>
      <c r="P40" s="6"/>
    </row>
    <row r="41" spans="1:16" ht="12.75">
      <c r="A41" s="6"/>
      <c r="B41" s="6"/>
      <c r="C41" s="6"/>
      <c r="D41" s="2"/>
      <c r="E41" s="2"/>
      <c r="F41" s="2"/>
      <c r="G41" s="2"/>
      <c r="H41" s="5" t="s">
        <v>167</v>
      </c>
      <c r="I41" s="11"/>
      <c r="J41" s="5" t="s">
        <v>133</v>
      </c>
      <c r="K41" s="6"/>
      <c r="L41" s="6"/>
      <c r="M41" s="11"/>
      <c r="N41" s="5" t="s">
        <v>188</v>
      </c>
      <c r="O41" s="6"/>
      <c r="P41" s="6"/>
    </row>
    <row r="42" spans="1:16" ht="12.75">
      <c r="A42" s="6"/>
      <c r="B42" s="6"/>
      <c r="C42" s="6"/>
      <c r="D42" s="2"/>
      <c r="E42" s="2"/>
      <c r="F42" s="2"/>
      <c r="G42" s="2"/>
      <c r="H42" s="11"/>
      <c r="I42" s="11"/>
      <c r="J42" s="6"/>
      <c r="K42" s="6"/>
      <c r="L42" s="6"/>
      <c r="M42" s="6"/>
      <c r="N42" s="6"/>
      <c r="O42" s="6"/>
      <c r="P42" s="6"/>
    </row>
    <row r="43" spans="1:16" ht="12.75">
      <c r="A43" s="6"/>
      <c r="B43" s="6"/>
      <c r="C43" s="6"/>
      <c r="D43" s="2"/>
      <c r="E43" s="2"/>
      <c r="F43" s="2"/>
      <c r="G43" s="2"/>
      <c r="H43" s="11"/>
      <c r="I43" s="11"/>
      <c r="J43" s="6"/>
      <c r="K43" s="6"/>
      <c r="L43" s="6"/>
      <c r="M43" s="6"/>
      <c r="N43" s="6"/>
      <c r="O43" s="6"/>
      <c r="P43" s="6"/>
    </row>
  </sheetData>
  <sheetProtection/>
  <mergeCells count="6">
    <mergeCell ref="A1:C1"/>
    <mergeCell ref="I1:L1"/>
    <mergeCell ref="A23:C23"/>
    <mergeCell ref="I23:L23"/>
    <mergeCell ref="A7:A8"/>
    <mergeCell ref="A28:A29"/>
  </mergeCells>
  <printOptions/>
  <pageMargins left="0.21" right="0.49" top="0.45" bottom="0.984251969" header="0.15" footer="0.4921259845"/>
  <pageSetup fitToHeight="1" fitToWidth="1" orientation="landscape" paperSize="9" scale="8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P22"/>
  <sheetViews>
    <sheetView workbookViewId="0" topLeftCell="A1">
      <selection activeCell="H25" sqref="H25"/>
    </sheetView>
  </sheetViews>
  <sheetFormatPr defaultColWidth="11.421875" defaultRowHeight="12.75"/>
  <cols>
    <col min="1" max="6" width="11.421875" style="1" customWidth="1"/>
    <col min="7" max="7" width="6.7109375" style="1" customWidth="1"/>
    <col min="8" max="8" width="11.421875" style="1" customWidth="1"/>
    <col min="9" max="9" width="8.57421875" style="1" customWidth="1"/>
    <col min="10" max="10" width="13.28125" style="1" customWidth="1"/>
    <col min="11" max="11" width="3.421875" style="1" customWidth="1"/>
    <col min="12" max="12" width="13.7109375" style="1" customWidth="1"/>
    <col min="13" max="13" width="8.7109375" style="1" customWidth="1"/>
    <col min="14" max="14" width="14.140625" style="1" customWidth="1"/>
    <col min="15" max="15" width="8.57421875" style="1" customWidth="1"/>
    <col min="16" max="16384" width="11.421875" style="1" customWidth="1"/>
  </cols>
  <sheetData>
    <row r="1" spans="1:16" ht="15.75">
      <c r="A1" s="346" t="s">
        <v>399</v>
      </c>
      <c r="B1" s="346"/>
      <c r="C1" s="346"/>
      <c r="D1" s="2"/>
      <c r="E1" s="2"/>
      <c r="F1" s="2"/>
      <c r="G1" s="2"/>
      <c r="H1" s="2"/>
      <c r="I1" s="347" t="s">
        <v>369</v>
      </c>
      <c r="J1" s="347"/>
      <c r="K1" s="347"/>
      <c r="L1" s="347"/>
      <c r="M1" s="2"/>
      <c r="N1" s="2"/>
      <c r="O1" s="2"/>
      <c r="P1" s="6"/>
    </row>
    <row r="2" spans="1:16" ht="12.75">
      <c r="A2" s="3"/>
      <c r="B2" s="3"/>
      <c r="C2" s="3"/>
      <c r="D2" s="2"/>
      <c r="E2" s="2"/>
      <c r="F2" s="2"/>
      <c r="G2" s="2"/>
      <c r="H2" s="2"/>
      <c r="I2" s="2"/>
      <c r="J2" s="6"/>
      <c r="K2" s="6"/>
      <c r="L2" s="6"/>
      <c r="M2" s="6"/>
      <c r="N2" s="6"/>
      <c r="O2" s="6"/>
      <c r="P2" s="6"/>
    </row>
    <row r="3" spans="1:16" ht="12.75">
      <c r="A3" s="3"/>
      <c r="B3" s="3"/>
      <c r="C3" s="3"/>
      <c r="D3" s="2"/>
      <c r="E3" s="2"/>
      <c r="F3" s="2"/>
      <c r="G3" s="2"/>
      <c r="H3" s="4">
        <v>244</v>
      </c>
      <c r="I3" s="4"/>
      <c r="J3" s="6"/>
      <c r="K3" s="6"/>
      <c r="L3" s="4">
        <v>253</v>
      </c>
      <c r="M3" s="4"/>
      <c r="N3" s="4">
        <v>159</v>
      </c>
      <c r="O3" s="6"/>
      <c r="P3" s="6"/>
    </row>
    <row r="4" spans="1:16" ht="12.75">
      <c r="A4" s="3"/>
      <c r="B4" s="3"/>
      <c r="C4" s="3"/>
      <c r="D4" s="2"/>
      <c r="E4" s="2"/>
      <c r="F4" s="2"/>
      <c r="G4" s="2"/>
      <c r="H4" s="5" t="s">
        <v>284</v>
      </c>
      <c r="I4" s="2"/>
      <c r="J4" s="6"/>
      <c r="K4" s="2"/>
      <c r="L4" s="5" t="s">
        <v>181</v>
      </c>
      <c r="M4" s="2"/>
      <c r="N4" s="5" t="s">
        <v>194</v>
      </c>
      <c r="O4" s="2"/>
      <c r="P4" s="6"/>
    </row>
    <row r="5" spans="1:16" ht="12.75">
      <c r="A5" s="3"/>
      <c r="B5" s="3"/>
      <c r="C5" s="3"/>
      <c r="D5" s="2"/>
      <c r="E5" s="2"/>
      <c r="F5" s="2"/>
      <c r="G5" s="2"/>
      <c r="H5" s="5" t="s">
        <v>288</v>
      </c>
      <c r="I5" s="2"/>
      <c r="J5" s="6"/>
      <c r="K5" s="2"/>
      <c r="L5" s="5" t="s">
        <v>180</v>
      </c>
      <c r="M5" s="2"/>
      <c r="N5" s="5" t="s">
        <v>195</v>
      </c>
      <c r="O5" s="2"/>
      <c r="P5" s="6"/>
    </row>
    <row r="6" spans="1:16" ht="12.75">
      <c r="A6" s="6"/>
      <c r="B6" s="6"/>
      <c r="C6" s="6"/>
      <c r="D6" s="2"/>
      <c r="E6" s="2"/>
      <c r="F6" s="2"/>
      <c r="G6" s="2"/>
      <c r="H6" s="2"/>
      <c r="I6" s="2"/>
      <c r="J6" s="6"/>
      <c r="K6" s="2"/>
      <c r="L6" s="2"/>
      <c r="M6" s="2"/>
      <c r="N6" s="2"/>
      <c r="O6" s="2"/>
      <c r="P6" s="6"/>
    </row>
    <row r="7" spans="1:16" ht="38.25">
      <c r="A7" s="348" t="s">
        <v>370</v>
      </c>
      <c r="B7" s="6"/>
      <c r="C7" s="6"/>
      <c r="D7" s="2"/>
      <c r="E7" s="2"/>
      <c r="F7" s="2"/>
      <c r="G7" s="2"/>
      <c r="H7" s="2"/>
      <c r="I7" s="2"/>
      <c r="J7" s="6"/>
      <c r="K7" s="2"/>
      <c r="L7" s="2"/>
      <c r="M7" s="2"/>
      <c r="N7" s="2"/>
      <c r="O7" s="2"/>
      <c r="P7" s="6"/>
    </row>
    <row r="8" spans="1:16" ht="15.75">
      <c r="A8" s="349"/>
      <c r="B8" s="7" t="s">
        <v>371</v>
      </c>
      <c r="C8" s="6"/>
      <c r="D8" s="2"/>
      <c r="E8" s="2"/>
      <c r="F8" s="2"/>
      <c r="G8" s="2"/>
      <c r="H8" s="8">
        <v>243</v>
      </c>
      <c r="I8" s="8"/>
      <c r="J8" s="8">
        <v>251</v>
      </c>
      <c r="K8" s="8"/>
      <c r="L8" s="8"/>
      <c r="M8" s="8"/>
      <c r="N8" s="8">
        <v>261</v>
      </c>
      <c r="O8" s="2"/>
      <c r="P8" s="13" t="s">
        <v>372</v>
      </c>
    </row>
    <row r="9" spans="1:16" ht="15">
      <c r="A9" s="9" t="s">
        <v>148</v>
      </c>
      <c r="B9" s="10" t="s">
        <v>373</v>
      </c>
      <c r="C9" s="6"/>
      <c r="D9" s="2" t="s">
        <v>281</v>
      </c>
      <c r="E9" s="2"/>
      <c r="F9" s="2"/>
      <c r="G9" s="2"/>
      <c r="H9" s="5" t="s">
        <v>283</v>
      </c>
      <c r="I9" s="2"/>
      <c r="J9" s="5" t="s">
        <v>177</v>
      </c>
      <c r="K9" s="2"/>
      <c r="L9" s="2"/>
      <c r="M9" s="2"/>
      <c r="N9" s="5" t="s">
        <v>196</v>
      </c>
      <c r="O9" s="2"/>
      <c r="P9" s="13" t="s">
        <v>374</v>
      </c>
    </row>
    <row r="10" spans="1:16" ht="15">
      <c r="A10" s="9" t="s">
        <v>149</v>
      </c>
      <c r="B10" s="10" t="s">
        <v>375</v>
      </c>
      <c r="C10" s="6"/>
      <c r="D10" s="2" t="s">
        <v>284</v>
      </c>
      <c r="E10" s="2"/>
      <c r="F10" s="2"/>
      <c r="G10" s="2"/>
      <c r="H10" s="5" t="s">
        <v>287</v>
      </c>
      <c r="I10" s="2"/>
      <c r="J10" s="5" t="s">
        <v>176</v>
      </c>
      <c r="K10" s="2"/>
      <c r="L10" s="2"/>
      <c r="M10" s="2"/>
      <c r="N10" s="5" t="s">
        <v>197</v>
      </c>
      <c r="O10" s="2"/>
      <c r="P10" s="13" t="s">
        <v>377</v>
      </c>
    </row>
    <row r="11" spans="1:16" ht="15">
      <c r="A11" s="9" t="s">
        <v>150</v>
      </c>
      <c r="B11" s="10" t="s">
        <v>378</v>
      </c>
      <c r="C11" s="6"/>
      <c r="D11" s="2" t="s">
        <v>283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3" t="s">
        <v>379</v>
      </c>
    </row>
    <row r="12" spans="1:16" ht="15">
      <c r="A12" s="9" t="s">
        <v>151</v>
      </c>
      <c r="B12" s="10" t="s">
        <v>380</v>
      </c>
      <c r="C12" s="6"/>
      <c r="D12" s="2" t="s">
        <v>282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" t="s">
        <v>381</v>
      </c>
    </row>
    <row r="13" spans="1:16" ht="15">
      <c r="A13" s="9" t="s">
        <v>152</v>
      </c>
      <c r="B13" s="10" t="s">
        <v>382</v>
      </c>
      <c r="C13" s="6"/>
      <c r="D13" s="2" t="s">
        <v>286</v>
      </c>
      <c r="E13" s="2"/>
      <c r="F13" s="2"/>
      <c r="G13" s="2"/>
      <c r="H13" s="8">
        <v>242</v>
      </c>
      <c r="I13" s="8"/>
      <c r="J13" s="8"/>
      <c r="K13" s="8"/>
      <c r="L13" s="8">
        <v>252</v>
      </c>
      <c r="M13" s="8"/>
      <c r="N13" s="8">
        <v>258</v>
      </c>
      <c r="O13" s="2"/>
      <c r="P13" s="13" t="s">
        <v>383</v>
      </c>
    </row>
    <row r="14" spans="1:16" ht="15">
      <c r="A14" s="9" t="s">
        <v>153</v>
      </c>
      <c r="B14" s="10" t="s">
        <v>384</v>
      </c>
      <c r="C14" s="6"/>
      <c r="D14" s="2" t="s">
        <v>287</v>
      </c>
      <c r="E14" s="2"/>
      <c r="F14" s="2"/>
      <c r="G14" s="2"/>
      <c r="H14" s="5" t="s">
        <v>282</v>
      </c>
      <c r="I14" s="2"/>
      <c r="J14" s="2"/>
      <c r="K14" s="2"/>
      <c r="L14" s="5" t="s">
        <v>179</v>
      </c>
      <c r="M14" s="2"/>
      <c r="N14" s="5" t="s">
        <v>190</v>
      </c>
      <c r="O14" s="2"/>
      <c r="P14" s="13" t="s">
        <v>385</v>
      </c>
    </row>
    <row r="15" spans="1:16" ht="15.75" customHeight="1">
      <c r="A15" s="9" t="s">
        <v>154</v>
      </c>
      <c r="B15" s="10" t="s">
        <v>386</v>
      </c>
      <c r="C15" s="6"/>
      <c r="D15" s="2" t="s">
        <v>288</v>
      </c>
      <c r="E15" s="2"/>
      <c r="F15" s="2"/>
      <c r="G15" s="2"/>
      <c r="H15" s="5" t="s">
        <v>286</v>
      </c>
      <c r="I15" s="2"/>
      <c r="J15" s="2"/>
      <c r="K15" s="2"/>
      <c r="L15" s="5" t="s">
        <v>178</v>
      </c>
      <c r="M15" s="2"/>
      <c r="N15" s="5" t="s">
        <v>191</v>
      </c>
      <c r="O15" s="2"/>
      <c r="P15" s="13" t="s">
        <v>387</v>
      </c>
    </row>
    <row r="16" spans="1:16" ht="15.75" customHeight="1">
      <c r="A16" s="9" t="s">
        <v>155</v>
      </c>
      <c r="B16" s="10" t="s">
        <v>388</v>
      </c>
      <c r="C16" s="6"/>
      <c r="D16" s="2" t="s">
        <v>285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/>
    </row>
    <row r="17" spans="1:16" ht="15.75" customHeight="1">
      <c r="A17" s="6"/>
      <c r="B17" s="6"/>
      <c r="C17" s="6"/>
      <c r="D17" s="2"/>
      <c r="E17" s="2"/>
      <c r="F17" s="2"/>
      <c r="G17" s="2"/>
      <c r="H17" s="8"/>
      <c r="I17" s="8"/>
      <c r="J17" s="8"/>
      <c r="K17" s="8"/>
      <c r="L17" s="8"/>
      <c r="M17" s="8"/>
      <c r="N17" s="8"/>
      <c r="O17" s="2"/>
      <c r="P17" s="6"/>
    </row>
    <row r="18" spans="1:16" ht="15.75" customHeight="1">
      <c r="A18" s="6"/>
      <c r="B18" s="6"/>
      <c r="C18" s="6"/>
      <c r="D18" s="2"/>
      <c r="E18" s="2"/>
      <c r="F18" s="2"/>
      <c r="G18" s="2"/>
      <c r="H18" s="8">
        <v>241</v>
      </c>
      <c r="I18" s="8"/>
      <c r="J18" s="8">
        <v>250</v>
      </c>
      <c r="K18" s="8"/>
      <c r="L18" s="14"/>
      <c r="M18" s="8"/>
      <c r="N18" s="8">
        <v>256</v>
      </c>
      <c r="O18" s="2"/>
      <c r="P18" s="6"/>
    </row>
    <row r="19" spans="1:16" ht="15.75" customHeight="1">
      <c r="A19" s="6"/>
      <c r="B19" s="6"/>
      <c r="C19" s="6"/>
      <c r="D19" s="2"/>
      <c r="E19" s="2"/>
      <c r="F19" s="2"/>
      <c r="G19" s="2"/>
      <c r="H19" s="5" t="s">
        <v>281</v>
      </c>
      <c r="I19" s="2"/>
      <c r="J19" s="5" t="s">
        <v>175</v>
      </c>
      <c r="K19" s="2"/>
      <c r="L19" s="6"/>
      <c r="M19" s="2"/>
      <c r="N19" s="5" t="s">
        <v>186</v>
      </c>
      <c r="O19" s="2"/>
      <c r="P19" s="6"/>
    </row>
    <row r="20" spans="1:16" ht="15.75" customHeight="1">
      <c r="A20" s="6"/>
      <c r="B20" s="6"/>
      <c r="C20" s="6"/>
      <c r="D20" s="2"/>
      <c r="E20" s="2"/>
      <c r="F20" s="2"/>
      <c r="G20" s="2"/>
      <c r="H20" s="5" t="s">
        <v>285</v>
      </c>
      <c r="I20" s="11"/>
      <c r="J20" s="5" t="s">
        <v>174</v>
      </c>
      <c r="K20" s="6"/>
      <c r="L20" s="6"/>
      <c r="M20" s="11"/>
      <c r="N20" s="5" t="s">
        <v>187</v>
      </c>
      <c r="O20" s="6"/>
      <c r="P20" s="6"/>
    </row>
    <row r="21" spans="1:16" ht="12.75">
      <c r="A21" s="6"/>
      <c r="B21" s="6"/>
      <c r="C21" s="6"/>
      <c r="D21" s="2"/>
      <c r="E21" s="2"/>
      <c r="F21" s="2"/>
      <c r="G21" s="2"/>
      <c r="H21" s="11"/>
      <c r="I21" s="11"/>
      <c r="J21" s="6"/>
      <c r="K21" s="6"/>
      <c r="L21" s="6"/>
      <c r="M21" s="6"/>
      <c r="N21" s="6"/>
      <c r="O21" s="6"/>
      <c r="P21" s="6"/>
    </row>
    <row r="22" ht="12.75">
      <c r="E22" s="12"/>
    </row>
  </sheetData>
  <sheetProtection/>
  <mergeCells count="3">
    <mergeCell ref="A1:C1"/>
    <mergeCell ref="I1:L1"/>
    <mergeCell ref="A7:A8"/>
  </mergeCells>
  <printOptions/>
  <pageMargins left="0.21" right="0.49" top="0.45" bottom="0.984251969" header="0.15" footer="0.4921259845"/>
  <pageSetup fitToHeight="1" fitToWidth="1" orientation="landscape" paperSize="9" scale="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R79"/>
  <sheetViews>
    <sheetView workbookViewId="0" topLeftCell="A50">
      <selection activeCell="A61" sqref="A61:A76"/>
    </sheetView>
  </sheetViews>
  <sheetFormatPr defaultColWidth="11.421875" defaultRowHeight="12.75"/>
  <cols>
    <col min="2" max="2" width="8.7109375" style="218" customWidth="1"/>
    <col min="3" max="3" width="3.7109375" style="0" customWidth="1"/>
    <col min="4" max="4" width="26.7109375" style="0" customWidth="1"/>
    <col min="5" max="5" width="6.7109375" style="0" customWidth="1"/>
    <col min="6" max="6" width="1.7109375" style="0" customWidth="1"/>
    <col min="7" max="8" width="7.7109375" style="221" customWidth="1"/>
    <col min="9" max="9" width="1.7109375" style="0" customWidth="1"/>
    <col min="10" max="10" width="6.28125" style="0" customWidth="1"/>
    <col min="11" max="11" width="26.7109375" style="0" customWidth="1"/>
    <col min="12" max="12" width="1.7109375" style="0" customWidth="1"/>
    <col min="13" max="15" width="17.7109375" style="220" customWidth="1"/>
    <col min="16" max="17" width="2.7109375" style="0" customWidth="1"/>
    <col min="18" max="18" width="4.8515625" style="0" customWidth="1"/>
  </cols>
  <sheetData>
    <row r="1" spans="6:15" s="166" customFormat="1" ht="27.75" customHeight="1">
      <c r="F1" s="169"/>
      <c r="G1" s="170" t="s">
        <v>70</v>
      </c>
      <c r="H1" s="167"/>
      <c r="I1" s="276" t="str">
        <f>saison</f>
        <v>2023-2024</v>
      </c>
      <c r="J1" s="276"/>
      <c r="K1" s="276"/>
      <c r="L1" s="276"/>
      <c r="M1" s="276"/>
      <c r="N1" s="276"/>
      <c r="O1" s="276"/>
    </row>
    <row r="2" spans="6:15" s="166" customFormat="1" ht="27.75" customHeight="1">
      <c r="F2" s="169"/>
      <c r="G2" s="277" t="s">
        <v>71</v>
      </c>
      <c r="H2" s="278"/>
      <c r="I2" s="279" t="str">
        <f>lieu</f>
        <v>Montluçon</v>
      </c>
      <c r="J2" s="280"/>
      <c r="K2" s="280"/>
      <c r="L2" s="280"/>
      <c r="M2" s="280"/>
      <c r="N2" s="280"/>
      <c r="O2" s="280"/>
    </row>
    <row r="3" spans="11:15" s="167" customFormat="1" ht="34.5" customHeight="1">
      <c r="K3" s="281" t="s">
        <v>72</v>
      </c>
      <c r="L3" s="281"/>
      <c r="M3" s="281"/>
      <c r="N3" s="281"/>
      <c r="O3" s="281"/>
    </row>
    <row r="4" spans="1:15" s="167" customFormat="1" ht="21" customHeight="1">
      <c r="A4" s="170" t="s">
        <v>73</v>
      </c>
      <c r="B4" s="279" t="str">
        <f>date</f>
        <v>18-19 et 20 mai 2024</v>
      </c>
      <c r="C4" s="280"/>
      <c r="D4" s="280"/>
      <c r="E4" s="280"/>
      <c r="F4" s="280"/>
      <c r="G4" s="280"/>
      <c r="H4" s="280"/>
      <c r="I4" s="282"/>
      <c r="J4" s="277" t="s">
        <v>74</v>
      </c>
      <c r="K4" s="277"/>
      <c r="L4" s="278"/>
      <c r="M4" s="279" t="str">
        <f>catégorie</f>
        <v>Division 1 Manche 3</v>
      </c>
      <c r="N4" s="280"/>
      <c r="O4" s="282"/>
    </row>
    <row r="5" spans="1:17" s="166" customFormat="1" ht="18" customHeight="1">
      <c r="A5" s="283" t="s">
        <v>75</v>
      </c>
      <c r="B5" s="283"/>
      <c r="C5" s="283"/>
      <c r="D5" s="284" t="str">
        <f>duréematch</f>
        <v>2*11' +2' de mi-temps +1' temps mort par  équipe +3' inter-match = 29'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01"/>
      <c r="Q5" s="201"/>
    </row>
    <row r="6" spans="2:17" s="166" customFormat="1" ht="8.25" customHeight="1">
      <c r="B6" s="171"/>
      <c r="C6" s="171"/>
      <c r="D6" s="171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201"/>
    </row>
    <row r="7" spans="1:15" s="168" customFormat="1" ht="21.75" customHeight="1">
      <c r="A7" s="173"/>
      <c r="B7" s="173"/>
      <c r="C7" s="174"/>
      <c r="D7" s="285" t="s">
        <v>76</v>
      </c>
      <c r="E7" s="286"/>
      <c r="F7" s="175"/>
      <c r="G7" s="285" t="s">
        <v>77</v>
      </c>
      <c r="H7" s="286"/>
      <c r="I7" s="175"/>
      <c r="J7" s="285" t="s">
        <v>78</v>
      </c>
      <c r="K7" s="286"/>
      <c r="L7" s="175"/>
      <c r="M7" s="287" t="s">
        <v>79</v>
      </c>
      <c r="N7" s="288"/>
      <c r="O7" s="289"/>
    </row>
    <row r="8" spans="1:15" s="168" customFormat="1" ht="21.75" customHeight="1">
      <c r="A8" s="176" t="s">
        <v>80</v>
      </c>
      <c r="B8" s="176" t="s">
        <v>81</v>
      </c>
      <c r="C8" s="177" t="s">
        <v>82</v>
      </c>
      <c r="D8" s="177" t="s">
        <v>83</v>
      </c>
      <c r="E8" s="177" t="s">
        <v>84</v>
      </c>
      <c r="F8" s="222" t="s">
        <v>85</v>
      </c>
      <c r="G8" s="177" t="s">
        <v>86</v>
      </c>
      <c r="H8" s="177" t="s">
        <v>87</v>
      </c>
      <c r="I8" s="228" t="s">
        <v>88</v>
      </c>
      <c r="J8" s="177" t="s">
        <v>84</v>
      </c>
      <c r="K8" s="177" t="s">
        <v>89</v>
      </c>
      <c r="L8" s="178"/>
      <c r="M8" s="202" t="s">
        <v>90</v>
      </c>
      <c r="N8" s="290" t="s">
        <v>91</v>
      </c>
      <c r="O8" s="291"/>
    </row>
    <row r="9" spans="1:18" s="168" customFormat="1" ht="16.5" customHeight="1">
      <c r="A9" s="179" t="s">
        <v>92</v>
      </c>
      <c r="B9" s="180">
        <v>0.3958333333333333</v>
      </c>
      <c r="C9" s="181">
        <v>101</v>
      </c>
      <c r="D9" s="223" t="str">
        <f>EQ1A</f>
        <v>FONTENAY-TRESIGNY</v>
      </c>
      <c r="E9" s="223" t="s">
        <v>93</v>
      </c>
      <c r="F9" s="224"/>
      <c r="G9" s="225"/>
      <c r="H9" s="225"/>
      <c r="I9" s="224"/>
      <c r="J9" s="223" t="s">
        <v>94</v>
      </c>
      <c r="K9" s="223" t="str">
        <f>EQ1B</f>
        <v>DINAN</v>
      </c>
      <c r="L9" s="178"/>
      <c r="M9" s="229"/>
      <c r="N9" s="204"/>
      <c r="O9" s="204"/>
      <c r="R9"/>
    </row>
    <row r="10" spans="1:18" s="168" customFormat="1" ht="16.5" customHeight="1">
      <c r="A10" s="179" t="s">
        <v>92</v>
      </c>
      <c r="B10" s="180">
        <f aca="true" t="shared" si="0" ref="B10:B32">B9+durée1</f>
        <v>0.4159722222222222</v>
      </c>
      <c r="C10" s="181">
        <v>102</v>
      </c>
      <c r="D10" s="223" t="str">
        <f>EQ1C</f>
        <v>RENNES</v>
      </c>
      <c r="E10" s="223" t="s">
        <v>95</v>
      </c>
      <c r="F10" s="224"/>
      <c r="G10" s="225"/>
      <c r="H10" s="225"/>
      <c r="I10" s="224"/>
      <c r="J10" s="223" t="s">
        <v>96</v>
      </c>
      <c r="K10" s="223" t="str">
        <f>EQ1D</f>
        <v>MOIRANS</v>
      </c>
      <c r="L10" s="206"/>
      <c r="M10" s="230"/>
      <c r="N10" s="204"/>
      <c r="O10" s="204"/>
      <c r="R10"/>
    </row>
    <row r="11" spans="1:18" s="168" customFormat="1" ht="16.5" customHeight="1">
      <c r="A11" s="179" t="s">
        <v>92</v>
      </c>
      <c r="B11" s="180">
        <f t="shared" si="0"/>
        <v>0.43611111111111106</v>
      </c>
      <c r="C11" s="181">
        <v>103</v>
      </c>
      <c r="D11" s="223" t="str">
        <f>EQ1E</f>
        <v>PONTOISE</v>
      </c>
      <c r="E11" s="223" t="s">
        <v>97</v>
      </c>
      <c r="F11" s="224"/>
      <c r="G11" s="225"/>
      <c r="H11" s="225"/>
      <c r="I11" s="224"/>
      <c r="J11" s="223" t="s">
        <v>98</v>
      </c>
      <c r="K11" s="223" t="str">
        <f>EQ1F</f>
        <v>DIDEROT XII</v>
      </c>
      <c r="L11" s="206"/>
      <c r="M11" s="229"/>
      <c r="N11" s="204"/>
      <c r="O11" s="204"/>
      <c r="R11"/>
    </row>
    <row r="12" spans="1:18" s="168" customFormat="1" ht="16.5" customHeight="1">
      <c r="A12" s="179" t="s">
        <v>92</v>
      </c>
      <c r="B12" s="180">
        <f t="shared" si="0"/>
        <v>0.45624999999999993</v>
      </c>
      <c r="C12" s="181">
        <v>104</v>
      </c>
      <c r="D12" s="223" t="str">
        <f>EQ1G</f>
        <v>CLAMART</v>
      </c>
      <c r="E12" s="223" t="s">
        <v>99</v>
      </c>
      <c r="F12" s="224"/>
      <c r="G12" s="225"/>
      <c r="H12" s="225"/>
      <c r="I12" s="224"/>
      <c r="J12" s="223" t="s">
        <v>100</v>
      </c>
      <c r="K12" s="223" t="str">
        <f>EQ1H</f>
        <v>SAINTES</v>
      </c>
      <c r="L12" s="206"/>
      <c r="M12" s="229"/>
      <c r="N12" s="210"/>
      <c r="O12" s="204"/>
      <c r="R12"/>
    </row>
    <row r="13" spans="1:18" s="168" customFormat="1" ht="16.5" customHeight="1">
      <c r="A13" s="179" t="s">
        <v>92</v>
      </c>
      <c r="B13" s="180">
        <f t="shared" si="0"/>
        <v>0.4763888888888888</v>
      </c>
      <c r="C13" s="181">
        <v>105</v>
      </c>
      <c r="D13" s="185" t="str">
        <f>EQ2A</f>
        <v>PESSAC</v>
      </c>
      <c r="E13" s="185" t="s">
        <v>101</v>
      </c>
      <c r="F13" s="186"/>
      <c r="G13" s="187"/>
      <c r="H13" s="187"/>
      <c r="I13" s="186"/>
      <c r="J13" s="207" t="s">
        <v>102</v>
      </c>
      <c r="K13" s="208" t="str">
        <f>EQ2B</f>
        <v>FRANCONVILLE</v>
      </c>
      <c r="L13" s="206"/>
      <c r="M13" s="231"/>
      <c r="N13" s="210"/>
      <c r="O13" s="204"/>
      <c r="R13"/>
    </row>
    <row r="14" spans="1:18" s="168" customFormat="1" ht="16.5" customHeight="1">
      <c r="A14" s="179" t="s">
        <v>92</v>
      </c>
      <c r="B14" s="180">
        <f t="shared" si="0"/>
        <v>0.4965277777777777</v>
      </c>
      <c r="C14" s="181">
        <v>106</v>
      </c>
      <c r="D14" s="185" t="str">
        <f>EQ2C</f>
        <v>LE CHESNAY</v>
      </c>
      <c r="E14" s="185" t="s">
        <v>103</v>
      </c>
      <c r="F14" s="186"/>
      <c r="G14" s="187"/>
      <c r="H14" s="187"/>
      <c r="I14" s="186"/>
      <c r="J14" s="207" t="s">
        <v>104</v>
      </c>
      <c r="K14" s="208" t="str">
        <f>EQ2D</f>
        <v>NANTES</v>
      </c>
      <c r="L14" s="206"/>
      <c r="M14" s="232"/>
      <c r="N14" s="210"/>
      <c r="O14" s="210"/>
      <c r="R14"/>
    </row>
    <row r="15" spans="1:18" s="168" customFormat="1" ht="16.5" customHeight="1">
      <c r="A15" s="179" t="s">
        <v>92</v>
      </c>
      <c r="B15" s="180">
        <f t="shared" si="0"/>
        <v>0.5166666666666666</v>
      </c>
      <c r="C15" s="181">
        <v>107</v>
      </c>
      <c r="D15" s="223" t="str">
        <f>EQ1B</f>
        <v>DINAN</v>
      </c>
      <c r="E15" s="223" t="s">
        <v>94</v>
      </c>
      <c r="F15" s="224"/>
      <c r="G15" s="225"/>
      <c r="H15" s="225"/>
      <c r="I15" s="224"/>
      <c r="J15" s="223" t="s">
        <v>96</v>
      </c>
      <c r="K15" s="223" t="str">
        <f>EQ1D</f>
        <v>MOIRANS</v>
      </c>
      <c r="L15" s="206"/>
      <c r="M15" s="231"/>
      <c r="N15" s="204"/>
      <c r="O15" s="204"/>
      <c r="R15"/>
    </row>
    <row r="16" spans="1:18" s="168" customFormat="1" ht="16.5" customHeight="1">
      <c r="A16" s="179" t="s">
        <v>92</v>
      </c>
      <c r="B16" s="180">
        <f t="shared" si="0"/>
        <v>0.5368055555555555</v>
      </c>
      <c r="C16" s="181">
        <v>108</v>
      </c>
      <c r="D16" s="223" t="str">
        <f>EQ1E</f>
        <v>PONTOISE</v>
      </c>
      <c r="E16" s="223" t="s">
        <v>97</v>
      </c>
      <c r="F16" s="224"/>
      <c r="G16" s="225"/>
      <c r="H16" s="225"/>
      <c r="I16" s="224"/>
      <c r="J16" s="223" t="s">
        <v>99</v>
      </c>
      <c r="K16" s="223" t="str">
        <f>EQ1G</f>
        <v>CLAMART</v>
      </c>
      <c r="L16" s="206"/>
      <c r="M16" s="229"/>
      <c r="N16" s="204"/>
      <c r="O16" s="210"/>
      <c r="R16"/>
    </row>
    <row r="17" spans="1:15" s="168" customFormat="1" ht="16.5" customHeight="1">
      <c r="A17" s="179" t="s">
        <v>92</v>
      </c>
      <c r="B17" s="180">
        <f t="shared" si="0"/>
        <v>0.5569444444444445</v>
      </c>
      <c r="C17" s="181"/>
      <c r="D17" s="292" t="s">
        <v>105</v>
      </c>
      <c r="E17" s="293"/>
      <c r="F17" s="293"/>
      <c r="G17" s="293"/>
      <c r="H17" s="293"/>
      <c r="I17" s="293"/>
      <c r="J17" s="293"/>
      <c r="K17" s="294"/>
      <c r="L17" s="206"/>
      <c r="M17" s="229" t="s">
        <v>106</v>
      </c>
      <c r="N17" s="204" t="s">
        <v>106</v>
      </c>
      <c r="O17" s="204" t="s">
        <v>106</v>
      </c>
    </row>
    <row r="18" spans="1:15" s="168" customFormat="1" ht="16.5" customHeight="1">
      <c r="A18" s="179" t="s">
        <v>92</v>
      </c>
      <c r="B18" s="180">
        <f t="shared" si="0"/>
        <v>0.5770833333333334</v>
      </c>
      <c r="C18" s="181">
        <v>109</v>
      </c>
      <c r="D18" s="223" t="str">
        <f>EQ1A</f>
        <v>FONTENAY-TRESIGNY</v>
      </c>
      <c r="E18" s="223" t="s">
        <v>93</v>
      </c>
      <c r="F18" s="224"/>
      <c r="G18" s="225"/>
      <c r="H18" s="225"/>
      <c r="I18" s="224"/>
      <c r="J18" s="223" t="s">
        <v>95</v>
      </c>
      <c r="K18" s="223" t="str">
        <f>EQ1C</f>
        <v>RENNES</v>
      </c>
      <c r="L18" s="206"/>
      <c r="M18" s="229"/>
      <c r="N18" s="204"/>
      <c r="O18" s="210"/>
    </row>
    <row r="19" spans="1:15" s="168" customFormat="1" ht="16.5" customHeight="1">
      <c r="A19" s="179" t="s">
        <v>92</v>
      </c>
      <c r="B19" s="180">
        <f t="shared" si="0"/>
        <v>0.5972222222222223</v>
      </c>
      <c r="C19" s="181">
        <v>110</v>
      </c>
      <c r="D19" s="223" t="str">
        <f>EQ1F</f>
        <v>DIDEROT XII</v>
      </c>
      <c r="E19" s="223" t="s">
        <v>98</v>
      </c>
      <c r="F19" s="224"/>
      <c r="G19" s="225"/>
      <c r="H19" s="225"/>
      <c r="I19" s="224"/>
      <c r="J19" s="223" t="s">
        <v>100</v>
      </c>
      <c r="K19" s="223" t="str">
        <f>EQ1H</f>
        <v>SAINTES</v>
      </c>
      <c r="L19" s="206"/>
      <c r="M19" s="230"/>
      <c r="N19" s="204"/>
      <c r="O19" s="204"/>
    </row>
    <row r="20" spans="1:15" s="168" customFormat="1" ht="16.5" customHeight="1">
      <c r="A20" s="179" t="s">
        <v>92</v>
      </c>
      <c r="B20" s="180">
        <f t="shared" si="0"/>
        <v>0.6173611111111112</v>
      </c>
      <c r="C20" s="181">
        <v>111</v>
      </c>
      <c r="D20" s="185" t="str">
        <f>EQ2A</f>
        <v>PESSAC</v>
      </c>
      <c r="E20" s="185" t="s">
        <v>101</v>
      </c>
      <c r="F20" s="186"/>
      <c r="G20" s="187"/>
      <c r="H20" s="187"/>
      <c r="I20" s="186"/>
      <c r="J20" s="207" t="s">
        <v>103</v>
      </c>
      <c r="K20" s="208" t="str">
        <f>EQ2C</f>
        <v>LE CHESNAY</v>
      </c>
      <c r="L20" s="206"/>
      <c r="M20" s="229"/>
      <c r="N20" s="204"/>
      <c r="O20" s="204"/>
    </row>
    <row r="21" spans="1:15" s="168" customFormat="1" ht="16.5" customHeight="1">
      <c r="A21" s="179" t="s">
        <v>92</v>
      </c>
      <c r="B21" s="180">
        <f t="shared" si="0"/>
        <v>0.6375000000000002</v>
      </c>
      <c r="C21" s="181">
        <v>112</v>
      </c>
      <c r="D21" s="185" t="str">
        <f>EQ2B</f>
        <v>FRANCONVILLE</v>
      </c>
      <c r="E21" s="185" t="s">
        <v>102</v>
      </c>
      <c r="F21" s="186"/>
      <c r="G21" s="187"/>
      <c r="H21" s="187"/>
      <c r="I21" s="186"/>
      <c r="J21" s="207" t="s">
        <v>104</v>
      </c>
      <c r="K21" s="208" t="str">
        <f>EQ2D</f>
        <v>NANTES</v>
      </c>
      <c r="L21" s="206"/>
      <c r="M21" s="229"/>
      <c r="N21" s="204"/>
      <c r="O21" s="204"/>
    </row>
    <row r="22" spans="1:15" s="168" customFormat="1" ht="16.5" customHeight="1">
      <c r="A22" s="179" t="s">
        <v>92</v>
      </c>
      <c r="B22" s="180">
        <f t="shared" si="0"/>
        <v>0.6576388888888891</v>
      </c>
      <c r="C22" s="181">
        <v>113</v>
      </c>
      <c r="D22" s="223" t="str">
        <f>EQ1D</f>
        <v>MOIRANS</v>
      </c>
      <c r="E22" s="223" t="s">
        <v>96</v>
      </c>
      <c r="F22" s="224"/>
      <c r="G22" s="225"/>
      <c r="H22" s="225"/>
      <c r="I22" s="224"/>
      <c r="J22" s="223" t="s">
        <v>93</v>
      </c>
      <c r="K22" s="223" t="str">
        <f>EQ1A</f>
        <v>FONTENAY-TRESIGNY</v>
      </c>
      <c r="L22" s="206"/>
      <c r="M22" s="229"/>
      <c r="N22" s="204"/>
      <c r="O22" s="204"/>
    </row>
    <row r="23" spans="1:15" s="168" customFormat="1" ht="16.5" customHeight="1">
      <c r="A23" s="179" t="s">
        <v>92</v>
      </c>
      <c r="B23" s="180">
        <f t="shared" si="0"/>
        <v>0.677777777777778</v>
      </c>
      <c r="C23" s="181">
        <v>114</v>
      </c>
      <c r="D23" s="223" t="str">
        <f>EQ1B</f>
        <v>DINAN</v>
      </c>
      <c r="E23" s="223" t="s">
        <v>94</v>
      </c>
      <c r="F23" s="224"/>
      <c r="G23" s="225"/>
      <c r="H23" s="225"/>
      <c r="I23" s="224"/>
      <c r="J23" s="223" t="s">
        <v>97</v>
      </c>
      <c r="K23" s="223" t="str">
        <f>EQ1E</f>
        <v>PONTOISE</v>
      </c>
      <c r="L23" s="206"/>
      <c r="M23" s="230"/>
      <c r="N23" s="204"/>
      <c r="O23" s="204"/>
    </row>
    <row r="24" spans="1:15" s="168" customFormat="1" ht="16.5" customHeight="1">
      <c r="A24" s="179" t="s">
        <v>92</v>
      </c>
      <c r="B24" s="180">
        <f t="shared" si="0"/>
        <v>0.697916666666667</v>
      </c>
      <c r="C24" s="181">
        <v>115</v>
      </c>
      <c r="D24" s="223" t="str">
        <f>EQ1F</f>
        <v>DIDEROT XII</v>
      </c>
      <c r="E24" s="223" t="s">
        <v>98</v>
      </c>
      <c r="F24" s="224"/>
      <c r="G24" s="225"/>
      <c r="H24" s="225"/>
      <c r="I24" s="224"/>
      <c r="J24" s="223" t="s">
        <v>99</v>
      </c>
      <c r="K24" s="223" t="str">
        <f>EQ1G</f>
        <v>CLAMART</v>
      </c>
      <c r="L24" s="206"/>
      <c r="M24" s="229"/>
      <c r="N24" s="204"/>
      <c r="O24" s="204"/>
    </row>
    <row r="25" spans="1:15" s="168" customFormat="1" ht="16.5" customHeight="1">
      <c r="A25" s="179" t="s">
        <v>92</v>
      </c>
      <c r="B25" s="180">
        <f t="shared" si="0"/>
        <v>0.7180555555555559</v>
      </c>
      <c r="C25" s="181">
        <v>116</v>
      </c>
      <c r="D25" s="223" t="str">
        <f>EQ1H</f>
        <v>SAINTES</v>
      </c>
      <c r="E25" s="223" t="s">
        <v>100</v>
      </c>
      <c r="F25" s="224"/>
      <c r="G25" s="225"/>
      <c r="H25" s="225"/>
      <c r="I25" s="224"/>
      <c r="J25" s="223" t="s">
        <v>95</v>
      </c>
      <c r="K25" s="223" t="str">
        <f>EQ1C</f>
        <v>RENNES</v>
      </c>
      <c r="L25" s="206"/>
      <c r="M25" s="229"/>
      <c r="N25" s="204"/>
      <c r="O25" s="204"/>
    </row>
    <row r="26" spans="1:15" s="168" customFormat="1" ht="16.5" customHeight="1">
      <c r="A26" s="179" t="s">
        <v>92</v>
      </c>
      <c r="B26" s="180">
        <f t="shared" si="0"/>
        <v>0.7381944444444448</v>
      </c>
      <c r="C26" s="181">
        <v>117</v>
      </c>
      <c r="D26" s="185" t="str">
        <f>EQ2D</f>
        <v>NANTES</v>
      </c>
      <c r="E26" s="185" t="s">
        <v>104</v>
      </c>
      <c r="F26" s="186"/>
      <c r="G26" s="187"/>
      <c r="H26" s="187"/>
      <c r="I26" s="186"/>
      <c r="J26" s="207" t="s">
        <v>107</v>
      </c>
      <c r="K26" s="208" t="str">
        <f>EQ2A</f>
        <v>PESSAC</v>
      </c>
      <c r="L26" s="206"/>
      <c r="M26" s="229"/>
      <c r="N26" s="204"/>
      <c r="O26" s="204"/>
    </row>
    <row r="27" spans="1:15" s="168" customFormat="1" ht="16.5" customHeight="1">
      <c r="A27" s="179" t="s">
        <v>92</v>
      </c>
      <c r="B27" s="180">
        <f t="shared" si="0"/>
        <v>0.7583333333333337</v>
      </c>
      <c r="C27" s="181">
        <v>118</v>
      </c>
      <c r="D27" s="185" t="str">
        <f>EQ2B</f>
        <v>FRANCONVILLE</v>
      </c>
      <c r="E27" s="185" t="s">
        <v>102</v>
      </c>
      <c r="F27" s="186"/>
      <c r="G27" s="187"/>
      <c r="H27" s="187"/>
      <c r="I27" s="186"/>
      <c r="J27" s="207" t="s">
        <v>108</v>
      </c>
      <c r="K27" s="208" t="str">
        <f>EQ2E</f>
        <v>LE PUY EN VELAY</v>
      </c>
      <c r="L27" s="206"/>
      <c r="M27" s="230"/>
      <c r="N27" s="204"/>
      <c r="O27" s="204"/>
    </row>
    <row r="28" spans="1:15" s="168" customFormat="1" ht="16.5" customHeight="1">
      <c r="A28" s="179" t="s">
        <v>92</v>
      </c>
      <c r="B28" s="180">
        <f t="shared" si="0"/>
        <v>0.7784722222222227</v>
      </c>
      <c r="C28" s="181">
        <v>119</v>
      </c>
      <c r="D28" s="185" t="str">
        <f>EQ2F</f>
        <v>HYERES</v>
      </c>
      <c r="E28" s="185" t="s">
        <v>109</v>
      </c>
      <c r="F28" s="186"/>
      <c r="G28" s="187"/>
      <c r="H28" s="187"/>
      <c r="I28" s="186"/>
      <c r="J28" s="207" t="s">
        <v>110</v>
      </c>
      <c r="K28" s="208" t="str">
        <f>EQ2G</f>
        <v>MORLAIX</v>
      </c>
      <c r="L28" s="206"/>
      <c r="M28" s="229"/>
      <c r="N28" s="204"/>
      <c r="O28" s="204"/>
    </row>
    <row r="29" spans="1:15" s="168" customFormat="1" ht="16.5" customHeight="1">
      <c r="A29" s="179" t="s">
        <v>92</v>
      </c>
      <c r="B29" s="180">
        <f t="shared" si="0"/>
        <v>0.7986111111111116</v>
      </c>
      <c r="C29" s="181">
        <v>120</v>
      </c>
      <c r="D29" s="185" t="str">
        <f>EQ2C</f>
        <v>LE CHESNAY</v>
      </c>
      <c r="E29" s="185" t="s">
        <v>103</v>
      </c>
      <c r="F29" s="186"/>
      <c r="G29" s="187"/>
      <c r="H29" s="187"/>
      <c r="I29" s="186"/>
      <c r="J29" s="207" t="s">
        <v>111</v>
      </c>
      <c r="K29" s="208" t="str">
        <f>EQ2H</f>
        <v>ERMONT</v>
      </c>
      <c r="L29" s="206"/>
      <c r="M29" s="229"/>
      <c r="N29" s="204"/>
      <c r="O29" s="204"/>
    </row>
    <row r="30" spans="1:15" s="168" customFormat="1" ht="16.5" customHeight="1">
      <c r="A30" s="179" t="s">
        <v>92</v>
      </c>
      <c r="B30" s="180">
        <f t="shared" si="0"/>
        <v>0.8187500000000005</v>
      </c>
      <c r="C30" s="181">
        <v>121</v>
      </c>
      <c r="D30" s="185" t="str">
        <f>EQ2A</f>
        <v>PESSAC</v>
      </c>
      <c r="E30" s="185" t="s">
        <v>107</v>
      </c>
      <c r="F30" s="186"/>
      <c r="G30" s="187"/>
      <c r="H30" s="187"/>
      <c r="I30" s="186"/>
      <c r="J30" s="207" t="s">
        <v>108</v>
      </c>
      <c r="K30" s="208" t="str">
        <f>EQ2E</f>
        <v>LE PUY EN VELAY</v>
      </c>
      <c r="L30" s="206"/>
      <c r="M30" s="229"/>
      <c r="N30" s="204"/>
      <c r="O30" s="204"/>
    </row>
    <row r="31" spans="1:15" s="168" customFormat="1" ht="16.5" customHeight="1">
      <c r="A31" s="179" t="s">
        <v>92</v>
      </c>
      <c r="B31" s="180">
        <f t="shared" si="0"/>
        <v>0.8388888888888895</v>
      </c>
      <c r="C31" s="181">
        <v>122</v>
      </c>
      <c r="D31" s="185" t="str">
        <f>EQ2B</f>
        <v>FRANCONVILLE</v>
      </c>
      <c r="E31" s="185" t="s">
        <v>102</v>
      </c>
      <c r="F31" s="186"/>
      <c r="G31" s="187"/>
      <c r="H31" s="187"/>
      <c r="I31" s="186"/>
      <c r="J31" s="207" t="s">
        <v>109</v>
      </c>
      <c r="K31" s="208" t="str">
        <f>EQ2F</f>
        <v>HYERES</v>
      </c>
      <c r="L31" s="206"/>
      <c r="M31" s="230"/>
      <c r="N31" s="204"/>
      <c r="O31" s="204"/>
    </row>
    <row r="32" spans="1:15" s="168" customFormat="1" ht="16.5" customHeight="1">
      <c r="A32" s="179" t="s">
        <v>92</v>
      </c>
      <c r="B32" s="180">
        <f t="shared" si="0"/>
        <v>0.8590277777777784</v>
      </c>
      <c r="C32" s="188"/>
      <c r="D32" s="189"/>
      <c r="E32" s="189"/>
      <c r="F32" s="190"/>
      <c r="G32" s="197"/>
      <c r="H32" s="197"/>
      <c r="I32" s="190"/>
      <c r="J32" s="189"/>
      <c r="K32" s="189"/>
      <c r="L32" s="190"/>
      <c r="M32" s="233"/>
      <c r="N32" s="233"/>
      <c r="O32" s="233"/>
    </row>
    <row r="33" spans="1:15" ht="9.75" customHeight="1">
      <c r="A33" s="191"/>
      <c r="B33" s="226"/>
      <c r="C33" s="191"/>
      <c r="D33" s="191"/>
      <c r="E33" s="191"/>
      <c r="F33" s="191"/>
      <c r="G33" s="200"/>
      <c r="H33" s="200"/>
      <c r="I33" s="191"/>
      <c r="J33" s="191"/>
      <c r="K33" s="191"/>
      <c r="L33" s="191"/>
      <c r="M33" s="234"/>
      <c r="N33" s="235"/>
      <c r="O33" s="235"/>
    </row>
    <row r="34" spans="1:15" s="168" customFormat="1" ht="16.5" customHeight="1">
      <c r="A34" s="179" t="s">
        <v>112</v>
      </c>
      <c r="B34" s="180">
        <v>0.3541666666666667</v>
      </c>
      <c r="C34" s="181">
        <v>123</v>
      </c>
      <c r="D34" s="223" t="str">
        <f>EQ1A</f>
        <v>FONTENAY-TRESIGNY</v>
      </c>
      <c r="E34" s="223" t="s">
        <v>93</v>
      </c>
      <c r="F34" s="224"/>
      <c r="G34" s="225"/>
      <c r="H34" s="225"/>
      <c r="I34" s="224"/>
      <c r="J34" s="223" t="s">
        <v>97</v>
      </c>
      <c r="K34" s="223" t="str">
        <f>EQ1E</f>
        <v>PONTOISE</v>
      </c>
      <c r="L34" s="206"/>
      <c r="M34" s="229"/>
      <c r="N34" s="204"/>
      <c r="O34" s="204"/>
    </row>
    <row r="35" spans="1:15" s="168" customFormat="1" ht="16.5" customHeight="1">
      <c r="A35" s="179" t="s">
        <v>112</v>
      </c>
      <c r="B35" s="180">
        <f aca="true" t="shared" si="1" ref="B35:B58">B34+durée1</f>
        <v>0.37430555555555556</v>
      </c>
      <c r="C35" s="181">
        <v>124</v>
      </c>
      <c r="D35" s="223" t="str">
        <f>EQ1B</f>
        <v>DINAN</v>
      </c>
      <c r="E35" s="223" t="s">
        <v>94</v>
      </c>
      <c r="F35" s="224"/>
      <c r="G35" s="225"/>
      <c r="H35" s="225"/>
      <c r="I35" s="224"/>
      <c r="J35" s="223" t="s">
        <v>98</v>
      </c>
      <c r="K35" s="223" t="str">
        <f>EQ1F</f>
        <v>DIDEROT XII</v>
      </c>
      <c r="L35" s="206"/>
      <c r="M35" s="229"/>
      <c r="N35" s="204"/>
      <c r="O35" s="204"/>
    </row>
    <row r="36" spans="1:15" s="168" customFormat="1" ht="16.5" customHeight="1">
      <c r="A36" s="179" t="s">
        <v>112</v>
      </c>
      <c r="B36" s="180">
        <f t="shared" si="1"/>
        <v>0.39444444444444443</v>
      </c>
      <c r="C36" s="181">
        <v>125</v>
      </c>
      <c r="D36" s="223" t="str">
        <f>EQ1G</f>
        <v>CLAMART</v>
      </c>
      <c r="E36" s="223" t="s">
        <v>99</v>
      </c>
      <c r="F36" s="224"/>
      <c r="G36" s="225"/>
      <c r="H36" s="225"/>
      <c r="I36" s="224"/>
      <c r="J36" s="223" t="s">
        <v>95</v>
      </c>
      <c r="K36" s="223" t="str">
        <f>EQ1C</f>
        <v>RENNES</v>
      </c>
      <c r="L36" s="206"/>
      <c r="M36" s="229"/>
      <c r="N36" s="204"/>
      <c r="O36" s="204"/>
    </row>
    <row r="37" spans="1:15" s="168" customFormat="1" ht="16.5" customHeight="1">
      <c r="A37" s="179" t="s">
        <v>112</v>
      </c>
      <c r="B37" s="180">
        <f t="shared" si="1"/>
        <v>0.4145833333333333</v>
      </c>
      <c r="C37" s="181">
        <v>126</v>
      </c>
      <c r="D37" s="223" t="str">
        <f>EQ1H</f>
        <v>SAINTES</v>
      </c>
      <c r="E37" s="223" t="s">
        <v>100</v>
      </c>
      <c r="F37" s="224"/>
      <c r="G37" s="225"/>
      <c r="H37" s="225"/>
      <c r="I37" s="224"/>
      <c r="J37" s="223" t="s">
        <v>96</v>
      </c>
      <c r="K37" s="223" t="str">
        <f>EQ1D</f>
        <v>MOIRANS</v>
      </c>
      <c r="L37" s="206"/>
      <c r="M37" s="229"/>
      <c r="N37" s="204"/>
      <c r="O37" s="204"/>
    </row>
    <row r="38" spans="1:15" s="168" customFormat="1" ht="16.5" customHeight="1">
      <c r="A38" s="179" t="s">
        <v>112</v>
      </c>
      <c r="B38" s="180">
        <f t="shared" si="1"/>
        <v>0.4347222222222222</v>
      </c>
      <c r="C38" s="181">
        <v>127</v>
      </c>
      <c r="D38" s="185" t="str">
        <f>EQ2F</f>
        <v>HYERES</v>
      </c>
      <c r="E38" s="185" t="s">
        <v>109</v>
      </c>
      <c r="F38" s="186"/>
      <c r="G38" s="187"/>
      <c r="H38" s="187"/>
      <c r="I38" s="186"/>
      <c r="J38" s="207" t="s">
        <v>107</v>
      </c>
      <c r="K38" s="208" t="str">
        <f>EQ2A</f>
        <v>PESSAC</v>
      </c>
      <c r="L38" s="206"/>
      <c r="M38" s="229"/>
      <c r="N38" s="204"/>
      <c r="O38" s="204"/>
    </row>
    <row r="39" spans="1:15" s="168" customFormat="1" ht="16.5" customHeight="1">
      <c r="A39" s="179" t="s">
        <v>112</v>
      </c>
      <c r="B39" s="180">
        <f t="shared" si="1"/>
        <v>0.45486111111111105</v>
      </c>
      <c r="C39" s="181">
        <v>128</v>
      </c>
      <c r="D39" s="185" t="str">
        <f>EQ2C</f>
        <v>LE CHESNAY</v>
      </c>
      <c r="E39" s="185" t="s">
        <v>103</v>
      </c>
      <c r="F39" s="186"/>
      <c r="G39" s="187"/>
      <c r="H39" s="187"/>
      <c r="I39" s="186"/>
      <c r="J39" s="207" t="s">
        <v>102</v>
      </c>
      <c r="K39" s="208" t="str">
        <f>EQ2B</f>
        <v>FRANCONVILLE</v>
      </c>
      <c r="L39" s="206"/>
      <c r="M39" s="229"/>
      <c r="N39" s="210"/>
      <c r="O39" s="204"/>
    </row>
    <row r="40" spans="1:15" s="168" customFormat="1" ht="16.5" customHeight="1">
      <c r="A40" s="179" t="s">
        <v>112</v>
      </c>
      <c r="B40" s="180">
        <f t="shared" si="1"/>
        <v>0.4749999999999999</v>
      </c>
      <c r="C40" s="181">
        <v>129</v>
      </c>
      <c r="D40" s="223" t="str">
        <f>EQ1F</f>
        <v>DIDEROT XII</v>
      </c>
      <c r="E40" s="223" t="s">
        <v>98</v>
      </c>
      <c r="F40" s="224"/>
      <c r="G40" s="225"/>
      <c r="H40" s="225"/>
      <c r="I40" s="224"/>
      <c r="J40" s="223" t="s">
        <v>93</v>
      </c>
      <c r="K40" s="223" t="str">
        <f>EQ1A</f>
        <v>FONTENAY-TRESIGNY</v>
      </c>
      <c r="L40" s="206"/>
      <c r="M40" s="229"/>
      <c r="N40" s="210"/>
      <c r="O40" s="204"/>
    </row>
    <row r="41" spans="1:15" s="168" customFormat="1" ht="16.5" customHeight="1">
      <c r="A41" s="179" t="s">
        <v>112</v>
      </c>
      <c r="B41" s="180">
        <f t="shared" si="1"/>
        <v>0.4951388888888888</v>
      </c>
      <c r="C41" s="181">
        <v>130</v>
      </c>
      <c r="D41" s="223" t="str">
        <f>EQ1C</f>
        <v>RENNES</v>
      </c>
      <c r="E41" s="223" t="s">
        <v>95</v>
      </c>
      <c r="F41" s="224"/>
      <c r="G41" s="225"/>
      <c r="H41" s="225"/>
      <c r="I41" s="224"/>
      <c r="J41" s="223" t="s">
        <v>94</v>
      </c>
      <c r="K41" s="223" t="str">
        <f>EQ1B</f>
        <v>DINAN</v>
      </c>
      <c r="L41" s="206"/>
      <c r="M41" s="231"/>
      <c r="N41" s="210"/>
      <c r="O41" s="204"/>
    </row>
    <row r="42" spans="1:15" s="168" customFormat="1" ht="16.5" customHeight="1">
      <c r="A42" s="179" t="s">
        <v>112</v>
      </c>
      <c r="B42" s="180">
        <f t="shared" si="1"/>
        <v>0.5152777777777777</v>
      </c>
      <c r="C42" s="181">
        <v>131</v>
      </c>
      <c r="D42" s="223" t="str">
        <f>EQ1D</f>
        <v>MOIRANS</v>
      </c>
      <c r="E42" s="223" t="s">
        <v>96</v>
      </c>
      <c r="F42" s="224"/>
      <c r="G42" s="225"/>
      <c r="H42" s="225"/>
      <c r="I42" s="224"/>
      <c r="J42" s="223" t="s">
        <v>99</v>
      </c>
      <c r="K42" s="223" t="str">
        <f>EQ1G</f>
        <v>CLAMART</v>
      </c>
      <c r="L42" s="206"/>
      <c r="M42" s="231"/>
      <c r="N42" s="210"/>
      <c r="O42" s="204"/>
    </row>
    <row r="43" spans="1:15" s="168" customFormat="1" ht="16.5" customHeight="1">
      <c r="A43" s="179" t="s">
        <v>112</v>
      </c>
      <c r="B43" s="180">
        <f t="shared" si="1"/>
        <v>0.5354166666666667</v>
      </c>
      <c r="C43" s="181">
        <v>132</v>
      </c>
      <c r="D43" s="223" t="str">
        <f>EQ1H</f>
        <v>SAINTES</v>
      </c>
      <c r="E43" s="223" t="s">
        <v>100</v>
      </c>
      <c r="F43" s="224"/>
      <c r="G43" s="225"/>
      <c r="H43" s="225"/>
      <c r="I43" s="224"/>
      <c r="J43" s="223" t="s">
        <v>97</v>
      </c>
      <c r="K43" s="223" t="str">
        <f>EQ1E</f>
        <v>PONTOISE</v>
      </c>
      <c r="L43" s="206"/>
      <c r="M43" s="229"/>
      <c r="N43" s="210"/>
      <c r="O43" s="204"/>
    </row>
    <row r="44" spans="1:15" s="168" customFormat="1" ht="16.5" customHeight="1">
      <c r="A44" s="179" t="s">
        <v>112</v>
      </c>
      <c r="B44" s="180">
        <f t="shared" si="1"/>
        <v>0.5555555555555556</v>
      </c>
      <c r="C44" s="181">
        <v>133</v>
      </c>
      <c r="D44" s="185" t="str">
        <f>EQ2C</f>
        <v>LE CHESNAY</v>
      </c>
      <c r="E44" s="185" t="s">
        <v>103</v>
      </c>
      <c r="F44" s="186"/>
      <c r="G44" s="187"/>
      <c r="H44" s="187"/>
      <c r="I44" s="186"/>
      <c r="J44" s="207" t="s">
        <v>109</v>
      </c>
      <c r="K44" s="185" t="str">
        <f>EQ2F</f>
        <v>HYERES</v>
      </c>
      <c r="L44" s="206"/>
      <c r="M44" s="229"/>
      <c r="N44" s="204"/>
      <c r="O44" s="210"/>
    </row>
    <row r="45" spans="1:15" s="168" customFormat="1" ht="15">
      <c r="A45" s="179" t="s">
        <v>112</v>
      </c>
      <c r="B45" s="180">
        <f t="shared" si="1"/>
        <v>0.5756944444444445</v>
      </c>
      <c r="C45" s="181"/>
      <c r="D45" s="292" t="s">
        <v>105</v>
      </c>
      <c r="E45" s="293"/>
      <c r="F45" s="293"/>
      <c r="G45" s="293"/>
      <c r="H45" s="293"/>
      <c r="I45" s="293"/>
      <c r="J45" s="293"/>
      <c r="K45" s="294"/>
      <c r="L45" s="206"/>
      <c r="M45" s="229" t="s">
        <v>106</v>
      </c>
      <c r="N45" s="204" t="s">
        <v>106</v>
      </c>
      <c r="O45" s="204" t="s">
        <v>106</v>
      </c>
    </row>
    <row r="46" spans="1:15" s="168" customFormat="1" ht="16.5" customHeight="1">
      <c r="A46" s="179" t="s">
        <v>112</v>
      </c>
      <c r="B46" s="180">
        <f t="shared" si="1"/>
        <v>0.5958333333333334</v>
      </c>
      <c r="C46" s="181">
        <v>134</v>
      </c>
      <c r="D46" s="185" t="str">
        <f>EQ2G</f>
        <v>MORLAIX</v>
      </c>
      <c r="E46" s="185" t="s">
        <v>110</v>
      </c>
      <c r="F46" s="186"/>
      <c r="G46" s="187"/>
      <c r="H46" s="187"/>
      <c r="I46" s="186"/>
      <c r="J46" s="207" t="s">
        <v>107</v>
      </c>
      <c r="K46" s="208" t="str">
        <f>EQ2A</f>
        <v>PESSAC</v>
      </c>
      <c r="L46" s="206"/>
      <c r="M46" s="229"/>
      <c r="N46" s="204"/>
      <c r="O46" s="204"/>
    </row>
    <row r="47" spans="1:15" s="168" customFormat="1" ht="16.5" customHeight="1">
      <c r="A47" s="179" t="s">
        <v>112</v>
      </c>
      <c r="B47" s="180">
        <f t="shared" si="1"/>
        <v>0.6159722222222224</v>
      </c>
      <c r="C47" s="181">
        <v>135</v>
      </c>
      <c r="D47" s="223" t="str">
        <f>EQ1C</f>
        <v>RENNES</v>
      </c>
      <c r="E47" s="223" t="s">
        <v>95</v>
      </c>
      <c r="F47" s="224"/>
      <c r="G47" s="225"/>
      <c r="H47" s="225"/>
      <c r="I47" s="224"/>
      <c r="J47" s="223" t="s">
        <v>98</v>
      </c>
      <c r="K47" s="223" t="str">
        <f>EQ1F</f>
        <v>DIDEROT XII</v>
      </c>
      <c r="L47" s="206"/>
      <c r="M47" s="229"/>
      <c r="N47" s="204"/>
      <c r="O47" s="204"/>
    </row>
    <row r="48" spans="1:15" s="168" customFormat="1" ht="16.5" customHeight="1">
      <c r="A48" s="179" t="s">
        <v>112</v>
      </c>
      <c r="B48" s="180">
        <f t="shared" si="1"/>
        <v>0.6361111111111113</v>
      </c>
      <c r="C48" s="181">
        <v>136</v>
      </c>
      <c r="D48" s="223" t="str">
        <f>EQ1G</f>
        <v>CLAMART</v>
      </c>
      <c r="E48" s="223" t="s">
        <v>99</v>
      </c>
      <c r="F48" s="224"/>
      <c r="G48" s="225"/>
      <c r="H48" s="225"/>
      <c r="I48" s="224"/>
      <c r="J48" s="223" t="s">
        <v>93</v>
      </c>
      <c r="K48" s="223" t="str">
        <f>EQ1A</f>
        <v>FONTENAY-TRESIGNY</v>
      </c>
      <c r="L48" s="206"/>
      <c r="M48" s="229"/>
      <c r="N48" s="204"/>
      <c r="O48" s="204"/>
    </row>
    <row r="49" spans="1:15" s="168" customFormat="1" ht="16.5" customHeight="1">
      <c r="A49" s="179" t="s">
        <v>112</v>
      </c>
      <c r="B49" s="180">
        <f t="shared" si="1"/>
        <v>0.6562500000000002</v>
      </c>
      <c r="C49" s="181">
        <v>137</v>
      </c>
      <c r="D49" s="223" t="str">
        <f>EQ1B</f>
        <v>DINAN</v>
      </c>
      <c r="E49" s="223" t="s">
        <v>94</v>
      </c>
      <c r="F49" s="224"/>
      <c r="G49" s="225"/>
      <c r="H49" s="225"/>
      <c r="I49" s="224"/>
      <c r="J49" s="223" t="s">
        <v>100</v>
      </c>
      <c r="K49" s="223" t="str">
        <f>EQ1H</f>
        <v>SAINTES</v>
      </c>
      <c r="L49" s="206"/>
      <c r="M49" s="229"/>
      <c r="N49" s="204"/>
      <c r="O49" s="204"/>
    </row>
    <row r="50" spans="1:15" s="168" customFormat="1" ht="16.5" customHeight="1">
      <c r="A50" s="179" t="s">
        <v>112</v>
      </c>
      <c r="B50" s="180">
        <f t="shared" si="1"/>
        <v>0.6763888888888892</v>
      </c>
      <c r="C50" s="181">
        <v>138</v>
      </c>
      <c r="D50" s="223" t="str">
        <f>EQ1E</f>
        <v>PONTOISE</v>
      </c>
      <c r="E50" s="223" t="s">
        <v>97</v>
      </c>
      <c r="F50" s="224"/>
      <c r="G50" s="225"/>
      <c r="H50" s="225"/>
      <c r="I50" s="224"/>
      <c r="J50" s="223" t="s">
        <v>96</v>
      </c>
      <c r="K50" s="223" t="str">
        <f>EQ1D</f>
        <v>MOIRANS</v>
      </c>
      <c r="L50" s="206"/>
      <c r="M50" s="229"/>
      <c r="N50" s="204"/>
      <c r="O50" s="204"/>
    </row>
    <row r="51" spans="1:15" s="168" customFormat="1" ht="16.5" customHeight="1">
      <c r="A51" s="179" t="s">
        <v>112</v>
      </c>
      <c r="B51" s="180">
        <f t="shared" si="1"/>
        <v>0.6965277777777781</v>
      </c>
      <c r="C51" s="181">
        <v>139</v>
      </c>
      <c r="D51" s="185" t="str">
        <f>EQ2A</f>
        <v>PESSAC</v>
      </c>
      <c r="E51" s="185" t="s">
        <v>107</v>
      </c>
      <c r="F51" s="186"/>
      <c r="G51" s="187"/>
      <c r="H51" s="187"/>
      <c r="I51" s="186"/>
      <c r="J51" s="207" t="s">
        <v>111</v>
      </c>
      <c r="K51" s="208" t="str">
        <f>EQ2H</f>
        <v>ERMONT</v>
      </c>
      <c r="L51" s="206"/>
      <c r="M51" s="229"/>
      <c r="N51" s="204"/>
      <c r="O51" s="204"/>
    </row>
    <row r="52" spans="1:15" s="168" customFormat="1" ht="16.5" customHeight="1">
      <c r="A52" s="179" t="s">
        <v>112</v>
      </c>
      <c r="B52" s="180">
        <f t="shared" si="1"/>
        <v>0.716666666666667</v>
      </c>
      <c r="C52" s="181">
        <v>140</v>
      </c>
      <c r="D52" s="185" t="str">
        <f>EQ2G</f>
        <v>MORLAIX</v>
      </c>
      <c r="E52" s="185" t="s">
        <v>110</v>
      </c>
      <c r="F52" s="186"/>
      <c r="G52" s="187"/>
      <c r="H52" s="187"/>
      <c r="I52" s="186"/>
      <c r="J52" s="207" t="s">
        <v>102</v>
      </c>
      <c r="K52" s="208" t="str">
        <f>EQ2B</f>
        <v>FRANCONVILLE</v>
      </c>
      <c r="L52" s="206"/>
      <c r="M52" s="229"/>
      <c r="N52" s="204"/>
      <c r="O52" s="204"/>
    </row>
    <row r="53" spans="1:15" s="168" customFormat="1" ht="16.5" customHeight="1">
      <c r="A53" s="179" t="s">
        <v>112</v>
      </c>
      <c r="B53" s="180">
        <f t="shared" si="1"/>
        <v>0.7368055555555559</v>
      </c>
      <c r="C53" s="181">
        <v>141</v>
      </c>
      <c r="D53" s="223" t="str">
        <f>EQ1A</f>
        <v>FONTENAY-TRESIGNY</v>
      </c>
      <c r="E53" s="223" t="s">
        <v>93</v>
      </c>
      <c r="F53" s="224"/>
      <c r="G53" s="225"/>
      <c r="H53" s="225"/>
      <c r="I53" s="224"/>
      <c r="J53" s="223" t="s">
        <v>100</v>
      </c>
      <c r="K53" s="223" t="str">
        <f>EQ1H</f>
        <v>SAINTES</v>
      </c>
      <c r="L53" s="206"/>
      <c r="M53" s="229"/>
      <c r="N53" s="204"/>
      <c r="O53" s="204"/>
    </row>
    <row r="54" spans="1:15" s="168" customFormat="1" ht="16.5" customHeight="1">
      <c r="A54" s="179" t="s">
        <v>112</v>
      </c>
      <c r="B54" s="180">
        <f t="shared" si="1"/>
        <v>0.7569444444444449</v>
      </c>
      <c r="C54" s="181">
        <v>142</v>
      </c>
      <c r="D54" s="223" t="str">
        <f>EQ1G</f>
        <v>CLAMART</v>
      </c>
      <c r="E54" s="223" t="s">
        <v>99</v>
      </c>
      <c r="F54" s="224"/>
      <c r="G54" s="225"/>
      <c r="H54" s="225"/>
      <c r="I54" s="224"/>
      <c r="J54" s="223" t="s">
        <v>94</v>
      </c>
      <c r="K54" s="223" t="str">
        <f>EQ1B</f>
        <v>DINAN</v>
      </c>
      <c r="L54" s="206"/>
      <c r="M54" s="229"/>
      <c r="N54" s="204"/>
      <c r="O54" s="204"/>
    </row>
    <row r="55" spans="1:15" s="168" customFormat="1" ht="16.5" customHeight="1">
      <c r="A55" s="179" t="s">
        <v>112</v>
      </c>
      <c r="B55" s="180">
        <f t="shared" si="1"/>
        <v>0.7770833333333338</v>
      </c>
      <c r="C55" s="181">
        <v>143</v>
      </c>
      <c r="D55" s="223" t="str">
        <f>EQ1D</f>
        <v>MOIRANS</v>
      </c>
      <c r="E55" s="223" t="s">
        <v>96</v>
      </c>
      <c r="F55" s="224"/>
      <c r="G55" s="225"/>
      <c r="H55" s="225"/>
      <c r="I55" s="224"/>
      <c r="J55" s="223" t="s">
        <v>98</v>
      </c>
      <c r="K55" s="223" t="str">
        <f>EQ1F</f>
        <v>DIDEROT XII</v>
      </c>
      <c r="L55" s="206"/>
      <c r="M55" s="229"/>
      <c r="N55" s="204"/>
      <c r="O55" s="204"/>
    </row>
    <row r="56" spans="1:15" s="168" customFormat="1" ht="16.5" customHeight="1">
      <c r="A56" s="179" t="s">
        <v>112</v>
      </c>
      <c r="B56" s="180">
        <f t="shared" si="1"/>
        <v>0.7972222222222227</v>
      </c>
      <c r="C56" s="181">
        <v>144</v>
      </c>
      <c r="D56" s="223" t="str">
        <f>EQ1C</f>
        <v>RENNES</v>
      </c>
      <c r="E56" s="223" t="s">
        <v>95</v>
      </c>
      <c r="F56" s="224"/>
      <c r="G56" s="225"/>
      <c r="H56" s="225"/>
      <c r="I56" s="224"/>
      <c r="J56" s="223" t="s">
        <v>97</v>
      </c>
      <c r="K56" s="223" t="str">
        <f>EQ1E</f>
        <v>PONTOISE</v>
      </c>
      <c r="L56" s="206"/>
      <c r="M56" s="229"/>
      <c r="N56" s="204"/>
      <c r="O56" s="204"/>
    </row>
    <row r="57" spans="1:15" s="168" customFormat="1" ht="16.5" customHeight="1">
      <c r="A57" s="179" t="s">
        <v>112</v>
      </c>
      <c r="B57" s="180">
        <f t="shared" si="1"/>
        <v>0.8173611111111116</v>
      </c>
      <c r="C57" s="181">
        <v>145</v>
      </c>
      <c r="D57" s="187">
        <f>IF('Groupe A'!C29="","",'Groupe A'!C29)</f>
      </c>
      <c r="E57" s="227" t="s">
        <v>113</v>
      </c>
      <c r="F57" s="186"/>
      <c r="G57" s="187"/>
      <c r="H57" s="187"/>
      <c r="I57" s="186"/>
      <c r="J57" s="236" t="s">
        <v>114</v>
      </c>
      <c r="K57" s="216">
        <f>IF('Groupe A'!C30="","",'Groupe A'!C30)</f>
      </c>
      <c r="L57" s="206"/>
      <c r="M57" s="229"/>
      <c r="N57" s="204"/>
      <c r="O57" s="204"/>
    </row>
    <row r="58" spans="1:15" s="168" customFormat="1" ht="16.5" customHeight="1">
      <c r="A58" s="179" t="s">
        <v>112</v>
      </c>
      <c r="B58" s="180">
        <f t="shared" si="1"/>
        <v>0.8375000000000006</v>
      </c>
      <c r="C58" s="188"/>
      <c r="D58" s="197"/>
      <c r="E58" s="189"/>
      <c r="F58" s="190"/>
      <c r="G58" s="197"/>
      <c r="H58" s="197"/>
      <c r="I58" s="190"/>
      <c r="J58" s="189"/>
      <c r="K58" s="197"/>
      <c r="L58" s="190"/>
      <c r="M58" s="233"/>
      <c r="N58" s="233"/>
      <c r="O58" s="233"/>
    </row>
    <row r="59" spans="1:15" ht="9.75" customHeight="1">
      <c r="A59" s="191"/>
      <c r="B59" s="226"/>
      <c r="C59" s="191"/>
      <c r="D59" s="199"/>
      <c r="E59" s="191"/>
      <c r="F59" s="191"/>
      <c r="G59" s="200"/>
      <c r="H59" s="200"/>
      <c r="I59" s="191"/>
      <c r="J59" s="191"/>
      <c r="K59" s="199"/>
      <c r="L59" s="191"/>
      <c r="M59" s="234"/>
      <c r="N59" s="235"/>
      <c r="O59" s="235"/>
    </row>
    <row r="60" spans="1:15" ht="16.5" customHeight="1">
      <c r="A60" s="179" t="s">
        <v>115</v>
      </c>
      <c r="B60" s="180">
        <v>0.3541666666666667</v>
      </c>
      <c r="C60" s="181">
        <v>146</v>
      </c>
      <c r="D60" s="225">
        <f>IF('Groupe A'!C34="","",'Groupe A'!C34)</f>
      </c>
      <c r="E60" s="223" t="s">
        <v>116</v>
      </c>
      <c r="F60" s="224"/>
      <c r="G60" s="225"/>
      <c r="H60" s="225"/>
      <c r="I60" s="224"/>
      <c r="J60" s="223" t="s">
        <v>117</v>
      </c>
      <c r="K60" s="225">
        <f>IF('Groupe A'!C35="","",'Groupe A'!C35)</f>
      </c>
      <c r="L60" s="206"/>
      <c r="M60" s="229"/>
      <c r="N60" s="204"/>
      <c r="O60" s="204"/>
    </row>
    <row r="61" spans="1:15" ht="16.5" customHeight="1">
      <c r="A61" s="179" t="s">
        <v>115</v>
      </c>
      <c r="B61" s="180">
        <f aca="true" t="shared" si="2" ref="B61:B77">B60+durée1</f>
        <v>0.37430555555555556</v>
      </c>
      <c r="C61" s="181">
        <v>147</v>
      </c>
      <c r="D61" s="225">
        <f>IF('Groupe A'!H34="","",'Groupe A'!H34)</f>
      </c>
      <c r="E61" s="223" t="s">
        <v>118</v>
      </c>
      <c r="F61" s="224"/>
      <c r="G61" s="225"/>
      <c r="H61" s="225"/>
      <c r="I61" s="224"/>
      <c r="J61" s="223" t="s">
        <v>119</v>
      </c>
      <c r="K61" s="225">
        <f>IF('Groupe A'!H35="","",'Groupe A'!H35)</f>
      </c>
      <c r="L61" s="206"/>
      <c r="M61" s="229"/>
      <c r="N61" s="204"/>
      <c r="O61" s="204"/>
    </row>
    <row r="62" spans="1:15" ht="16.5" customHeight="1">
      <c r="A62" s="179" t="s">
        <v>115</v>
      </c>
      <c r="B62" s="180">
        <f t="shared" si="2"/>
        <v>0.39444444444444443</v>
      </c>
      <c r="C62" s="181">
        <v>148</v>
      </c>
      <c r="D62" s="225">
        <f>IF('Groupe A'!P34="","",'Groupe A'!P34)</f>
      </c>
      <c r="E62" s="223" t="s">
        <v>120</v>
      </c>
      <c r="F62" s="224"/>
      <c r="G62" s="225"/>
      <c r="H62" s="225"/>
      <c r="I62" s="224"/>
      <c r="J62" s="223" t="s">
        <v>121</v>
      </c>
      <c r="K62" s="225">
        <f>IF('Groupe A'!P35="","",'Groupe A'!P35)</f>
      </c>
      <c r="L62" s="206"/>
      <c r="M62" s="229"/>
      <c r="N62" s="204"/>
      <c r="O62" s="204"/>
    </row>
    <row r="63" spans="1:15" ht="16.5" customHeight="1">
      <c r="A63" s="179" t="s">
        <v>115</v>
      </c>
      <c r="B63" s="180">
        <f t="shared" si="2"/>
        <v>0.4145833333333333</v>
      </c>
      <c r="C63" s="181">
        <v>149</v>
      </c>
      <c r="D63" s="225">
        <f>IF('Groupe A'!Y34="","",'Groupe A'!Y34)</f>
      </c>
      <c r="E63" s="223" t="s">
        <v>122</v>
      </c>
      <c r="F63" s="224"/>
      <c r="G63" s="225"/>
      <c r="H63" s="225"/>
      <c r="I63" s="224"/>
      <c r="J63" s="223" t="s">
        <v>123</v>
      </c>
      <c r="K63" s="225">
        <f>IF('Groupe A'!Y35="","",'Groupe A'!Y35)</f>
      </c>
      <c r="L63" s="206"/>
      <c r="M63" s="229"/>
      <c r="N63" s="204"/>
      <c r="O63" s="204"/>
    </row>
    <row r="64" spans="1:15" ht="16.5" customHeight="1">
      <c r="A64" s="179" t="s">
        <v>115</v>
      </c>
      <c r="B64" s="180">
        <f t="shared" si="2"/>
        <v>0.4347222222222222</v>
      </c>
      <c r="C64" s="181">
        <v>150</v>
      </c>
      <c r="D64" s="225">
        <f>'Groupe A'!C38</f>
      </c>
      <c r="E64" s="223" t="s">
        <v>124</v>
      </c>
      <c r="F64" s="224"/>
      <c r="G64" s="225"/>
      <c r="H64" s="225"/>
      <c r="I64" s="224"/>
      <c r="J64" s="223" t="s">
        <v>125</v>
      </c>
      <c r="K64" s="225">
        <f>'Groupe A'!C39</f>
      </c>
      <c r="L64" s="206"/>
      <c r="M64" s="229"/>
      <c r="N64" s="204"/>
      <c r="O64" s="204"/>
    </row>
    <row r="65" spans="1:15" ht="16.5" customHeight="1">
      <c r="A65" s="179" t="s">
        <v>115</v>
      </c>
      <c r="B65" s="180">
        <f t="shared" si="2"/>
        <v>0.45486111111111105</v>
      </c>
      <c r="C65" s="181">
        <v>151</v>
      </c>
      <c r="D65" s="225">
        <f>'Groupe A'!H38</f>
      </c>
      <c r="E65" s="223" t="s">
        <v>126</v>
      </c>
      <c r="F65" s="224"/>
      <c r="G65" s="225"/>
      <c r="H65" s="225"/>
      <c r="I65" s="224"/>
      <c r="J65" s="223" t="s">
        <v>127</v>
      </c>
      <c r="K65" s="225">
        <f>'Groupe A'!H39</f>
      </c>
      <c r="L65" s="206"/>
      <c r="M65" s="231"/>
      <c r="N65" s="210"/>
      <c r="O65" s="210"/>
    </row>
    <row r="66" spans="1:15" ht="16.5" customHeight="1">
      <c r="A66" s="179" t="s">
        <v>115</v>
      </c>
      <c r="B66" s="180">
        <f t="shared" si="2"/>
        <v>0.4749999999999999</v>
      </c>
      <c r="C66" s="181">
        <v>152</v>
      </c>
      <c r="D66" s="225">
        <f>'Groupe A'!P38</f>
      </c>
      <c r="E66" s="223" t="s">
        <v>128</v>
      </c>
      <c r="F66" s="224"/>
      <c r="G66" s="225"/>
      <c r="H66" s="225"/>
      <c r="I66" s="224"/>
      <c r="J66" s="223" t="s">
        <v>129</v>
      </c>
      <c r="K66" s="225">
        <f>'Groupe A'!P39</f>
      </c>
      <c r="L66" s="206"/>
      <c r="M66" s="231"/>
      <c r="N66" s="210"/>
      <c r="O66" s="210"/>
    </row>
    <row r="67" spans="1:15" ht="16.5" customHeight="1">
      <c r="A67" s="179" t="s">
        <v>115</v>
      </c>
      <c r="B67" s="180">
        <f t="shared" si="2"/>
        <v>0.4951388888888888</v>
      </c>
      <c r="C67" s="181">
        <v>153</v>
      </c>
      <c r="D67" s="225">
        <f>'Groupe A'!Y38</f>
      </c>
      <c r="E67" s="223" t="s">
        <v>130</v>
      </c>
      <c r="F67" s="224"/>
      <c r="G67" s="225"/>
      <c r="H67" s="225"/>
      <c r="I67" s="224"/>
      <c r="J67" s="223" t="s">
        <v>131</v>
      </c>
      <c r="K67" s="225">
        <f>'Groupe A'!Y39</f>
      </c>
      <c r="L67" s="206"/>
      <c r="M67" s="229"/>
      <c r="N67" s="204"/>
      <c r="O67" s="204"/>
    </row>
    <row r="68" spans="1:15" ht="16.5" customHeight="1">
      <c r="A68" s="179" t="s">
        <v>115</v>
      </c>
      <c r="B68" s="180">
        <f t="shared" si="2"/>
        <v>0.5152777777777777</v>
      </c>
      <c r="C68" s="181"/>
      <c r="D68" s="295" t="s">
        <v>105</v>
      </c>
      <c r="E68" s="296"/>
      <c r="F68" s="296"/>
      <c r="G68" s="296"/>
      <c r="H68" s="296"/>
      <c r="I68" s="296"/>
      <c r="J68" s="296"/>
      <c r="K68" s="297"/>
      <c r="L68" s="206"/>
      <c r="M68" s="229" t="s">
        <v>106</v>
      </c>
      <c r="N68" s="204" t="s">
        <v>106</v>
      </c>
      <c r="O68" s="204" t="s">
        <v>106</v>
      </c>
    </row>
    <row r="69" spans="1:15" ht="16.5" customHeight="1">
      <c r="A69" s="179" t="s">
        <v>115</v>
      </c>
      <c r="B69" s="180">
        <f t="shared" si="2"/>
        <v>0.5354166666666667</v>
      </c>
      <c r="C69" s="181">
        <v>154</v>
      </c>
      <c r="D69" s="187">
        <f>'Groupe B'!C33</f>
      </c>
      <c r="E69" s="185" t="s">
        <v>132</v>
      </c>
      <c r="F69" s="186"/>
      <c r="G69" s="187"/>
      <c r="H69" s="187"/>
      <c r="I69" s="186"/>
      <c r="J69" s="207" t="s">
        <v>133</v>
      </c>
      <c r="K69" s="216">
        <f>'Groupe B'!C32</f>
      </c>
      <c r="L69" s="206"/>
      <c r="M69" s="231"/>
      <c r="N69" s="210"/>
      <c r="O69" s="210"/>
    </row>
    <row r="70" spans="1:15" ht="16.5" customHeight="1">
      <c r="A70" s="179" t="s">
        <v>115</v>
      </c>
      <c r="B70" s="180">
        <f t="shared" si="2"/>
        <v>0.5555555555555556</v>
      </c>
      <c r="C70" s="181">
        <v>155</v>
      </c>
      <c r="D70" s="225">
        <f>'Groupe A'!C42</f>
      </c>
      <c r="E70" s="223" t="s">
        <v>134</v>
      </c>
      <c r="F70" s="224"/>
      <c r="G70" s="225"/>
      <c r="H70" s="225"/>
      <c r="I70" s="224"/>
      <c r="J70" s="223" t="s">
        <v>135</v>
      </c>
      <c r="K70" s="225">
        <f>'Groupe A'!C43</f>
      </c>
      <c r="L70" s="206"/>
      <c r="M70" s="229"/>
      <c r="N70" s="204"/>
      <c r="O70" s="204"/>
    </row>
    <row r="71" spans="1:15" ht="16.5" customHeight="1">
      <c r="A71" s="179" t="s">
        <v>115</v>
      </c>
      <c r="B71" s="180">
        <f t="shared" si="2"/>
        <v>0.5756944444444445</v>
      </c>
      <c r="C71" s="181">
        <v>156</v>
      </c>
      <c r="D71" s="187">
        <f>'Groupe B'!P33</f>
      </c>
      <c r="E71" s="185" t="s">
        <v>136</v>
      </c>
      <c r="F71" s="186"/>
      <c r="G71" s="187"/>
      <c r="H71" s="187"/>
      <c r="I71" s="186"/>
      <c r="J71" s="207" t="s">
        <v>137</v>
      </c>
      <c r="K71" s="216">
        <f>'Groupe B'!P32</f>
      </c>
      <c r="L71" s="206"/>
      <c r="M71" s="229"/>
      <c r="N71" s="204"/>
      <c r="O71" s="204"/>
    </row>
    <row r="72" spans="1:15" ht="16.5" customHeight="1">
      <c r="A72" s="179" t="s">
        <v>115</v>
      </c>
      <c r="B72" s="180">
        <f t="shared" si="2"/>
        <v>0.5958333333333334</v>
      </c>
      <c r="C72" s="181">
        <v>157</v>
      </c>
      <c r="D72" s="225">
        <f>'Groupe A'!H42</f>
      </c>
      <c r="E72" s="223" t="s">
        <v>138</v>
      </c>
      <c r="F72" s="224"/>
      <c r="G72" s="225"/>
      <c r="H72" s="225"/>
      <c r="I72" s="224"/>
      <c r="J72" s="223" t="s">
        <v>139</v>
      </c>
      <c r="K72" s="225">
        <f>'Groupe A'!H43</f>
      </c>
      <c r="L72" s="206"/>
      <c r="M72" s="229"/>
      <c r="N72" s="204"/>
      <c r="O72" s="204"/>
    </row>
    <row r="73" spans="1:15" ht="16.5" customHeight="1">
      <c r="A73" s="179" t="s">
        <v>115</v>
      </c>
      <c r="B73" s="180">
        <f t="shared" si="2"/>
        <v>0.6159722222222224</v>
      </c>
      <c r="C73" s="181">
        <v>158</v>
      </c>
      <c r="D73" s="187">
        <f>'Groupe B'!P36</f>
      </c>
      <c r="E73" s="185" t="s">
        <v>140</v>
      </c>
      <c r="F73" s="186"/>
      <c r="G73" s="187"/>
      <c r="H73" s="187"/>
      <c r="I73" s="186"/>
      <c r="J73" s="207" t="s">
        <v>141</v>
      </c>
      <c r="K73" s="216">
        <f>'Groupe B'!P37</f>
      </c>
      <c r="L73" s="206"/>
      <c r="M73" s="229"/>
      <c r="N73" s="204"/>
      <c r="O73" s="204"/>
    </row>
    <row r="74" spans="1:15" ht="16.5" customHeight="1">
      <c r="A74" s="179" t="s">
        <v>115</v>
      </c>
      <c r="B74" s="180">
        <f t="shared" si="2"/>
        <v>0.6361111111111113</v>
      </c>
      <c r="C74" s="181">
        <v>159</v>
      </c>
      <c r="D74" s="225">
        <f>Féminines!Y39</f>
      </c>
      <c r="E74" s="223" t="s">
        <v>142</v>
      </c>
      <c r="F74" s="224"/>
      <c r="G74" s="225"/>
      <c r="H74" s="225"/>
      <c r="I74" s="224"/>
      <c r="J74" s="223" t="s">
        <v>143</v>
      </c>
      <c r="K74" s="225">
        <f>Féminines!Y38</f>
      </c>
      <c r="L74" s="206"/>
      <c r="M74" s="229"/>
      <c r="N74" s="204"/>
      <c r="O74" s="204"/>
    </row>
    <row r="75" spans="1:15" ht="16.5" customHeight="1">
      <c r="A75" s="179" t="s">
        <v>115</v>
      </c>
      <c r="B75" s="180">
        <f t="shared" si="2"/>
        <v>0.6562500000000002</v>
      </c>
      <c r="C75" s="181">
        <v>160</v>
      </c>
      <c r="D75" s="187">
        <f>'Groupe B'!Y36</f>
      </c>
      <c r="E75" s="185" t="s">
        <v>144</v>
      </c>
      <c r="F75" s="186"/>
      <c r="G75" s="187"/>
      <c r="H75" s="187"/>
      <c r="I75" s="186"/>
      <c r="J75" s="207" t="s">
        <v>145</v>
      </c>
      <c r="K75" s="216">
        <f>'Groupe B'!Y37</f>
      </c>
      <c r="L75" s="206"/>
      <c r="M75" s="229"/>
      <c r="N75" s="204"/>
      <c r="O75" s="204"/>
    </row>
    <row r="76" spans="1:15" ht="16.5" customHeight="1">
      <c r="A76" s="179" t="s">
        <v>115</v>
      </c>
      <c r="B76" s="180">
        <f t="shared" si="2"/>
        <v>0.6763888888888892</v>
      </c>
      <c r="C76" s="181">
        <v>161</v>
      </c>
      <c r="D76" s="225">
        <f>'Groupe A'!Y42</f>
      </c>
      <c r="E76" s="223" t="s">
        <v>146</v>
      </c>
      <c r="F76" s="224"/>
      <c r="G76" s="225"/>
      <c r="H76" s="225"/>
      <c r="I76" s="224"/>
      <c r="J76" s="223" t="s">
        <v>147</v>
      </c>
      <c r="K76" s="225">
        <f>'Groupe A'!Y43</f>
      </c>
      <c r="L76" s="206"/>
      <c r="M76" s="229"/>
      <c r="N76" s="204"/>
      <c r="O76" s="204"/>
    </row>
    <row r="77" spans="1:15" ht="16.5" customHeight="1">
      <c r="A77" s="191"/>
      <c r="B77" s="180">
        <f t="shared" si="2"/>
        <v>0.6965277777777781</v>
      </c>
      <c r="C77" s="188"/>
      <c r="D77" s="189"/>
      <c r="E77" s="189"/>
      <c r="F77" s="190"/>
      <c r="G77" s="189"/>
      <c r="H77" s="189"/>
      <c r="I77" s="190"/>
      <c r="J77" s="189"/>
      <c r="K77" s="189"/>
      <c r="L77" s="190"/>
      <c r="M77" s="239"/>
      <c r="N77" s="239"/>
      <c r="O77" s="239"/>
    </row>
    <row r="78" spans="3:15" ht="12.75">
      <c r="C78" s="237"/>
      <c r="D78" s="237"/>
      <c r="E78" s="237"/>
      <c r="F78" s="237"/>
      <c r="G78" s="238"/>
      <c r="H78" s="238"/>
      <c r="I78" s="237"/>
      <c r="J78" s="237"/>
      <c r="K78" s="237"/>
      <c r="L78" s="237"/>
      <c r="M78" s="240"/>
      <c r="N78" s="240"/>
      <c r="O78" s="240"/>
    </row>
    <row r="79" spans="3:15" ht="12.75">
      <c r="C79" s="237"/>
      <c r="D79" s="237"/>
      <c r="E79" s="237"/>
      <c r="F79" s="237"/>
      <c r="G79" s="238"/>
      <c r="H79" s="238"/>
      <c r="I79" s="237"/>
      <c r="J79" s="237"/>
      <c r="K79" s="237"/>
      <c r="L79" s="237"/>
      <c r="M79" s="240"/>
      <c r="N79" s="240"/>
      <c r="O79" s="240"/>
    </row>
  </sheetData>
  <sheetProtection/>
  <mergeCells count="17">
    <mergeCell ref="N8:O8"/>
    <mergeCell ref="D17:K17"/>
    <mergeCell ref="D45:K45"/>
    <mergeCell ref="D68:K68"/>
    <mergeCell ref="A5:C5"/>
    <mergeCell ref="D5:O5"/>
    <mergeCell ref="D7:E7"/>
    <mergeCell ref="G7:H7"/>
    <mergeCell ref="J7:K7"/>
    <mergeCell ref="M7:O7"/>
    <mergeCell ref="I1:O1"/>
    <mergeCell ref="G2:H2"/>
    <mergeCell ref="I2:O2"/>
    <mergeCell ref="K3:O3"/>
    <mergeCell ref="B4:I4"/>
    <mergeCell ref="J4:L4"/>
    <mergeCell ref="M4:O4"/>
  </mergeCells>
  <printOptions/>
  <pageMargins left="0.7" right="0.7" top="0.75" bottom="0.75" header="0.3" footer="0.3"/>
  <pageSetup fitToHeight="0" fitToWidth="1" horizontalDpi="300" verticalDpi="300" orientation="landscape" paperSize="9" scale="81"/>
  <headerFooter alignWithMargins="0">
    <oddHeader xml:space="preserve">&amp;C&amp;"Arial,Gras italique"&amp;18Championnat de France 1° Division M et F   
  </oddHeader>
    <oddFooter>&amp;R&amp;"Arial,Gras italique"Terrain N°1</oddFooter>
  </headerFooter>
  <rowBreaks count="2" manualBreakCount="2">
    <brk id="33" max="255" man="1"/>
    <brk id="59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P78"/>
  <sheetViews>
    <sheetView zoomScaleSheetLayoutView="55" workbookViewId="0" topLeftCell="A7">
      <selection activeCell="A35" sqref="A35:A58"/>
    </sheetView>
  </sheetViews>
  <sheetFormatPr defaultColWidth="11.421875" defaultRowHeight="12.75"/>
  <cols>
    <col min="2" max="2" width="8.7109375" style="0" customWidth="1"/>
    <col min="3" max="3" width="5.140625" style="0" customWidth="1"/>
    <col min="4" max="4" width="25.7109375" style="0" customWidth="1"/>
    <col min="5" max="5" width="6.57421875" style="0" customWidth="1"/>
    <col min="6" max="6" width="1.7109375" style="0" customWidth="1"/>
    <col min="7" max="8" width="7.7109375" style="0" customWidth="1"/>
    <col min="9" max="9" width="1.7109375" style="0" customWidth="1"/>
    <col min="10" max="10" width="6.8515625" style="0" customWidth="1"/>
    <col min="11" max="11" width="25.7109375" style="0" customWidth="1"/>
    <col min="12" max="12" width="1.7109375" style="0" customWidth="1"/>
    <col min="13" max="15" width="17.7109375" style="0" customWidth="1"/>
  </cols>
  <sheetData>
    <row r="1" spans="6:15" s="166" customFormat="1" ht="27.75" customHeight="1">
      <c r="F1" s="169"/>
      <c r="G1" s="170" t="s">
        <v>70</v>
      </c>
      <c r="H1" s="167"/>
      <c r="I1" s="276" t="str">
        <f>saison</f>
        <v>2023-2024</v>
      </c>
      <c r="J1" s="276"/>
      <c r="K1" s="276"/>
      <c r="L1" s="276"/>
      <c r="M1" s="276"/>
      <c r="N1" s="276"/>
      <c r="O1" s="276"/>
    </row>
    <row r="2" spans="6:15" s="166" customFormat="1" ht="27.75" customHeight="1">
      <c r="F2" s="169"/>
      <c r="G2" s="277" t="s">
        <v>71</v>
      </c>
      <c r="H2" s="278"/>
      <c r="I2" s="279" t="str">
        <f>lieu</f>
        <v>Montluçon</v>
      </c>
      <c r="J2" s="280"/>
      <c r="K2" s="280"/>
      <c r="L2" s="280"/>
      <c r="M2" s="280"/>
      <c r="N2" s="280"/>
      <c r="O2" s="280"/>
    </row>
    <row r="3" spans="11:15" s="167" customFormat="1" ht="23.25" customHeight="1">
      <c r="K3" s="281" t="s">
        <v>72</v>
      </c>
      <c r="L3" s="281"/>
      <c r="M3" s="281"/>
      <c r="N3" s="281"/>
      <c r="O3" s="281"/>
    </row>
    <row r="4" spans="1:15" s="167" customFormat="1" ht="21" customHeight="1">
      <c r="A4" s="170" t="s">
        <v>73</v>
      </c>
      <c r="B4" s="279" t="str">
        <f>date</f>
        <v>18-19 et 20 mai 2024</v>
      </c>
      <c r="C4" s="280"/>
      <c r="D4" s="280"/>
      <c r="E4" s="280"/>
      <c r="F4" s="280"/>
      <c r="G4" s="280"/>
      <c r="H4" s="280"/>
      <c r="I4" s="282"/>
      <c r="J4" s="277" t="s">
        <v>74</v>
      </c>
      <c r="K4" s="277"/>
      <c r="L4" s="278"/>
      <c r="M4" s="279" t="str">
        <f>catégorie</f>
        <v>Division 1 Manche 3</v>
      </c>
      <c r="N4" s="280"/>
      <c r="O4" s="282"/>
    </row>
    <row r="5" spans="1:16" s="166" customFormat="1" ht="15">
      <c r="A5" s="283" t="s">
        <v>75</v>
      </c>
      <c r="B5" s="283"/>
      <c r="C5" s="283"/>
      <c r="D5" s="284" t="str">
        <f>duréematch</f>
        <v>2*11' +2' de mi-temps +1' temps mort par  équipe +3' inter-match = 29'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01"/>
    </row>
    <row r="6" spans="2:16" s="166" customFormat="1" ht="8.25" customHeight="1">
      <c r="B6" s="171"/>
      <c r="C6" s="171"/>
      <c r="D6" s="171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5" s="168" customFormat="1" ht="21.75" customHeight="1">
      <c r="A7" s="173"/>
      <c r="B7" s="173"/>
      <c r="C7" s="174"/>
      <c r="D7" s="285" t="s">
        <v>76</v>
      </c>
      <c r="E7" s="286"/>
      <c r="F7" s="175"/>
      <c r="G7" s="285" t="s">
        <v>77</v>
      </c>
      <c r="H7" s="286"/>
      <c r="I7" s="175"/>
      <c r="J7" s="285" t="s">
        <v>78</v>
      </c>
      <c r="K7" s="286"/>
      <c r="L7" s="175"/>
      <c r="M7" s="287" t="s">
        <v>79</v>
      </c>
      <c r="N7" s="288"/>
      <c r="O7" s="289"/>
    </row>
    <row r="8" spans="1:15" s="168" customFormat="1" ht="21.75" customHeight="1">
      <c r="A8" s="176" t="s">
        <v>80</v>
      </c>
      <c r="B8" s="176" t="s">
        <v>81</v>
      </c>
      <c r="C8" s="177" t="s">
        <v>82</v>
      </c>
      <c r="D8" s="177" t="s">
        <v>83</v>
      </c>
      <c r="E8" s="177" t="s">
        <v>84</v>
      </c>
      <c r="F8" s="178"/>
      <c r="G8" s="177" t="s">
        <v>86</v>
      </c>
      <c r="H8" s="177" t="s">
        <v>87</v>
      </c>
      <c r="I8" s="178"/>
      <c r="J8" s="177" t="s">
        <v>84</v>
      </c>
      <c r="K8" s="177" t="s">
        <v>89</v>
      </c>
      <c r="L8" s="178"/>
      <c r="M8" s="202" t="s">
        <v>90</v>
      </c>
      <c r="N8" s="290" t="s">
        <v>91</v>
      </c>
      <c r="O8" s="291"/>
    </row>
    <row r="9" spans="1:15" ht="16.5" customHeight="1">
      <c r="A9" s="179" t="s">
        <v>92</v>
      </c>
      <c r="B9" s="180">
        <v>0.3958333333333333</v>
      </c>
      <c r="C9" s="181">
        <v>201</v>
      </c>
      <c r="D9" s="182" t="str">
        <f>EQFA</f>
        <v>LE CHESNAY F</v>
      </c>
      <c r="E9" s="182" t="s">
        <v>148</v>
      </c>
      <c r="F9" s="183"/>
      <c r="G9" s="184"/>
      <c r="H9" s="184"/>
      <c r="I9" s="183"/>
      <c r="J9" s="182" t="s">
        <v>149</v>
      </c>
      <c r="K9" s="182" t="str">
        <f>EQFB</f>
        <v>PONTOISE F</v>
      </c>
      <c r="L9" s="178"/>
      <c r="M9" s="203"/>
      <c r="N9" s="204"/>
      <c r="O9" s="205"/>
    </row>
    <row r="10" spans="1:15" ht="16.5" customHeight="1">
      <c r="A10" s="179" t="s">
        <v>92</v>
      </c>
      <c r="B10" s="180">
        <f aca="true" t="shared" si="0" ref="B10:B32">B9+durée1</f>
        <v>0.4159722222222222</v>
      </c>
      <c r="C10" s="181">
        <v>202</v>
      </c>
      <c r="D10" s="182" t="str">
        <f>EQFC</f>
        <v>HYERES F</v>
      </c>
      <c r="E10" s="182" t="s">
        <v>150</v>
      </c>
      <c r="F10" s="183"/>
      <c r="G10" s="184"/>
      <c r="H10" s="184"/>
      <c r="I10" s="183"/>
      <c r="J10" s="182" t="s">
        <v>151</v>
      </c>
      <c r="K10" s="182" t="str">
        <f>EQFD</f>
        <v>HOPE F</v>
      </c>
      <c r="L10" s="206"/>
      <c r="M10" s="203"/>
      <c r="N10" s="204"/>
      <c r="O10" s="204"/>
    </row>
    <row r="11" spans="1:15" ht="16.5" customHeight="1">
      <c r="A11" s="179" t="s">
        <v>92</v>
      </c>
      <c r="B11" s="180">
        <f t="shared" si="0"/>
        <v>0.43611111111111106</v>
      </c>
      <c r="C11" s="181">
        <v>203</v>
      </c>
      <c r="D11" s="182" t="str">
        <f>EQFE</f>
        <v>FONTENAY-TRESIGNY F</v>
      </c>
      <c r="E11" s="182" t="s">
        <v>152</v>
      </c>
      <c r="F11" s="183"/>
      <c r="G11" s="184"/>
      <c r="H11" s="184"/>
      <c r="I11" s="183"/>
      <c r="J11" s="182" t="s">
        <v>153</v>
      </c>
      <c r="K11" s="182" t="str">
        <f>EQFF</f>
        <v>DINAN F</v>
      </c>
      <c r="L11" s="206"/>
      <c r="M11" s="203"/>
      <c r="N11" s="204"/>
      <c r="O11" s="204"/>
    </row>
    <row r="12" spans="1:15" ht="16.5" customHeight="1">
      <c r="A12" s="179" t="s">
        <v>92</v>
      </c>
      <c r="B12" s="180">
        <f t="shared" si="0"/>
        <v>0.45624999999999993</v>
      </c>
      <c r="C12" s="181">
        <v>204</v>
      </c>
      <c r="D12" s="182" t="str">
        <f>EQFG</f>
        <v>SAINT-MALO F</v>
      </c>
      <c r="E12" s="182" t="s">
        <v>154</v>
      </c>
      <c r="F12" s="183"/>
      <c r="G12" s="184"/>
      <c r="H12" s="184"/>
      <c r="I12" s="183"/>
      <c r="J12" s="182" t="s">
        <v>155</v>
      </c>
      <c r="K12" s="182" t="str">
        <f>EQFH</f>
        <v>MOIRANS F</v>
      </c>
      <c r="L12" s="206"/>
      <c r="M12" s="203"/>
      <c r="N12" s="204"/>
      <c r="O12" s="204"/>
    </row>
    <row r="13" spans="1:15" ht="16.5" customHeight="1">
      <c r="A13" s="179" t="s">
        <v>92</v>
      </c>
      <c r="B13" s="180">
        <f t="shared" si="0"/>
        <v>0.4763888888888888</v>
      </c>
      <c r="C13" s="181">
        <v>205</v>
      </c>
      <c r="D13" s="185" t="str">
        <f>EQ2E</f>
        <v>LE PUY EN VELAY</v>
      </c>
      <c r="E13" s="185" t="s">
        <v>108</v>
      </c>
      <c r="F13" s="186"/>
      <c r="G13" s="187"/>
      <c r="H13" s="187"/>
      <c r="I13" s="186"/>
      <c r="J13" s="207" t="s">
        <v>109</v>
      </c>
      <c r="K13" s="208" t="str">
        <f>EQ2F</f>
        <v>HYERES</v>
      </c>
      <c r="L13" s="206"/>
      <c r="M13" s="209"/>
      <c r="N13" s="210"/>
      <c r="O13" s="204"/>
    </row>
    <row r="14" spans="1:15" ht="16.5" customHeight="1">
      <c r="A14" s="179" t="s">
        <v>92</v>
      </c>
      <c r="B14" s="180">
        <f t="shared" si="0"/>
        <v>0.4965277777777777</v>
      </c>
      <c r="C14" s="181">
        <v>206</v>
      </c>
      <c r="D14" s="185" t="str">
        <f>EQ2G</f>
        <v>MORLAIX</v>
      </c>
      <c r="E14" s="185" t="s">
        <v>110</v>
      </c>
      <c r="F14" s="186"/>
      <c r="G14" s="187"/>
      <c r="H14" s="187"/>
      <c r="I14" s="186"/>
      <c r="J14" s="207" t="s">
        <v>111</v>
      </c>
      <c r="K14" s="208" t="str">
        <f>EQ2H</f>
        <v>ERMONT</v>
      </c>
      <c r="L14" s="206"/>
      <c r="M14" s="209"/>
      <c r="N14" s="210"/>
      <c r="O14" s="210"/>
    </row>
    <row r="15" spans="1:15" ht="16.5" customHeight="1">
      <c r="A15" s="179" t="s">
        <v>92</v>
      </c>
      <c r="B15" s="180">
        <f t="shared" si="0"/>
        <v>0.5166666666666666</v>
      </c>
      <c r="C15" s="181">
        <v>207</v>
      </c>
      <c r="D15" s="182" t="str">
        <f>EQFA</f>
        <v>LE CHESNAY F</v>
      </c>
      <c r="E15" s="182" t="s">
        <v>148</v>
      </c>
      <c r="F15" s="183"/>
      <c r="G15" s="184"/>
      <c r="H15" s="184"/>
      <c r="I15" s="183"/>
      <c r="J15" s="182" t="s">
        <v>150</v>
      </c>
      <c r="K15" s="182" t="str">
        <f>EQFC</f>
        <v>HYERES F</v>
      </c>
      <c r="L15" s="206"/>
      <c r="M15" s="203"/>
      <c r="N15" s="204"/>
      <c r="O15" s="204"/>
    </row>
    <row r="16" spans="1:15" ht="16.5" customHeight="1">
      <c r="A16" s="179" t="s">
        <v>92</v>
      </c>
      <c r="B16" s="180">
        <f t="shared" si="0"/>
        <v>0.5368055555555555</v>
      </c>
      <c r="C16" s="181">
        <v>208</v>
      </c>
      <c r="D16" s="182" t="str">
        <f>EQFB</f>
        <v>PONTOISE F</v>
      </c>
      <c r="E16" s="182" t="s">
        <v>149</v>
      </c>
      <c r="F16" s="183"/>
      <c r="G16" s="184"/>
      <c r="H16" s="184"/>
      <c r="I16" s="183"/>
      <c r="J16" s="182" t="s">
        <v>151</v>
      </c>
      <c r="K16" s="182" t="str">
        <f>EQFD</f>
        <v>HOPE F</v>
      </c>
      <c r="L16" s="206"/>
      <c r="M16" s="203"/>
      <c r="N16" s="210"/>
      <c r="O16" s="210"/>
    </row>
    <row r="17" spans="1:15" ht="16.5" customHeight="1">
      <c r="A17" s="179" t="s">
        <v>92</v>
      </c>
      <c r="B17" s="180">
        <f t="shared" si="0"/>
        <v>0.5569444444444445</v>
      </c>
      <c r="C17" s="181"/>
      <c r="D17" s="292" t="s">
        <v>105</v>
      </c>
      <c r="E17" s="293"/>
      <c r="F17" s="293"/>
      <c r="G17" s="293"/>
      <c r="H17" s="293"/>
      <c r="I17" s="293"/>
      <c r="J17" s="293"/>
      <c r="K17" s="294"/>
      <c r="L17" s="206"/>
      <c r="M17" s="203" t="s">
        <v>106</v>
      </c>
      <c r="N17" s="204" t="s">
        <v>106</v>
      </c>
      <c r="O17" s="204" t="s">
        <v>106</v>
      </c>
    </row>
    <row r="18" spans="1:15" ht="16.5" customHeight="1">
      <c r="A18" s="179" t="s">
        <v>92</v>
      </c>
      <c r="B18" s="180">
        <f t="shared" si="0"/>
        <v>0.5770833333333334</v>
      </c>
      <c r="C18" s="181">
        <v>209</v>
      </c>
      <c r="D18" s="182" t="str">
        <f>EQFE</f>
        <v>FONTENAY-TRESIGNY F</v>
      </c>
      <c r="E18" s="182" t="s">
        <v>152</v>
      </c>
      <c r="F18" s="183"/>
      <c r="G18" s="184"/>
      <c r="H18" s="184"/>
      <c r="I18" s="183"/>
      <c r="J18" s="182" t="s">
        <v>154</v>
      </c>
      <c r="K18" s="182" t="str">
        <f>EQFG</f>
        <v>SAINT-MALO F</v>
      </c>
      <c r="L18" s="206"/>
      <c r="M18" s="203"/>
      <c r="N18" s="204"/>
      <c r="O18" s="210"/>
    </row>
    <row r="19" spans="1:15" ht="16.5" customHeight="1">
      <c r="A19" s="179" t="s">
        <v>92</v>
      </c>
      <c r="B19" s="180">
        <f t="shared" si="0"/>
        <v>0.5972222222222223</v>
      </c>
      <c r="C19" s="181">
        <v>210</v>
      </c>
      <c r="D19" s="182" t="str">
        <f>EQFF</f>
        <v>DINAN F</v>
      </c>
      <c r="E19" s="182" t="s">
        <v>153</v>
      </c>
      <c r="F19" s="183"/>
      <c r="G19" s="184"/>
      <c r="H19" s="184"/>
      <c r="I19" s="183"/>
      <c r="J19" s="182" t="s">
        <v>155</v>
      </c>
      <c r="K19" s="182" t="str">
        <f>EQFH</f>
        <v>MOIRANS F</v>
      </c>
      <c r="L19" s="206"/>
      <c r="M19" s="203"/>
      <c r="N19" s="204"/>
      <c r="O19" s="204"/>
    </row>
    <row r="20" spans="1:15" ht="16.5" customHeight="1">
      <c r="A20" s="179" t="s">
        <v>92</v>
      </c>
      <c r="B20" s="180">
        <f t="shared" si="0"/>
        <v>0.6173611111111112</v>
      </c>
      <c r="C20" s="181">
        <v>211</v>
      </c>
      <c r="D20" s="185" t="str">
        <f>EQ2E</f>
        <v>LE PUY EN VELAY</v>
      </c>
      <c r="E20" s="185" t="s">
        <v>108</v>
      </c>
      <c r="F20" s="186"/>
      <c r="G20" s="187"/>
      <c r="H20" s="187"/>
      <c r="I20" s="186"/>
      <c r="J20" s="207" t="s">
        <v>110</v>
      </c>
      <c r="K20" s="208" t="str">
        <f>EQ2G</f>
        <v>MORLAIX</v>
      </c>
      <c r="L20" s="206"/>
      <c r="M20" s="203"/>
      <c r="N20" s="204"/>
      <c r="O20" s="204"/>
    </row>
    <row r="21" spans="1:15" ht="16.5" customHeight="1">
      <c r="A21" s="179" t="s">
        <v>92</v>
      </c>
      <c r="B21" s="180">
        <f t="shared" si="0"/>
        <v>0.6375000000000002</v>
      </c>
      <c r="C21" s="181">
        <v>212</v>
      </c>
      <c r="D21" s="185" t="str">
        <f>EQ2F</f>
        <v>HYERES</v>
      </c>
      <c r="E21" s="185" t="s">
        <v>109</v>
      </c>
      <c r="F21" s="186"/>
      <c r="G21" s="187"/>
      <c r="H21" s="187"/>
      <c r="I21" s="186"/>
      <c r="J21" s="207" t="s">
        <v>111</v>
      </c>
      <c r="K21" s="208" t="str">
        <f>EQ2H</f>
        <v>ERMONT</v>
      </c>
      <c r="L21" s="206"/>
      <c r="M21" s="203"/>
      <c r="N21" s="204"/>
      <c r="O21" s="204"/>
    </row>
    <row r="22" spans="1:15" ht="16.5" customHeight="1">
      <c r="A22" s="179" t="s">
        <v>92</v>
      </c>
      <c r="B22" s="180">
        <f t="shared" si="0"/>
        <v>0.6576388888888891</v>
      </c>
      <c r="C22" s="181">
        <v>213</v>
      </c>
      <c r="D22" s="182" t="str">
        <f>EQFD</f>
        <v>HOPE F</v>
      </c>
      <c r="E22" s="182" t="s">
        <v>151</v>
      </c>
      <c r="F22" s="183"/>
      <c r="G22" s="184"/>
      <c r="H22" s="184"/>
      <c r="I22" s="183"/>
      <c r="J22" s="182" t="s">
        <v>148</v>
      </c>
      <c r="K22" s="182" t="str">
        <f>EQFA</f>
        <v>LE CHESNAY F</v>
      </c>
      <c r="L22" s="206"/>
      <c r="M22" s="203"/>
      <c r="N22" s="204"/>
      <c r="O22" s="204"/>
    </row>
    <row r="23" spans="1:15" ht="16.5" customHeight="1">
      <c r="A23" s="179" t="s">
        <v>92</v>
      </c>
      <c r="B23" s="180">
        <f t="shared" si="0"/>
        <v>0.677777777777778</v>
      </c>
      <c r="C23" s="181">
        <v>214</v>
      </c>
      <c r="D23" s="182" t="str">
        <f>EQFB</f>
        <v>PONTOISE F</v>
      </c>
      <c r="E23" s="182" t="s">
        <v>149</v>
      </c>
      <c r="F23" s="183"/>
      <c r="G23" s="184"/>
      <c r="H23" s="184"/>
      <c r="I23" s="183"/>
      <c r="J23" s="182" t="s">
        <v>152</v>
      </c>
      <c r="K23" s="182" t="str">
        <f>EQFE</f>
        <v>FONTENAY-TRESIGNY F</v>
      </c>
      <c r="L23" s="206"/>
      <c r="M23" s="203"/>
      <c r="N23" s="204"/>
      <c r="O23" s="204"/>
    </row>
    <row r="24" spans="1:15" ht="16.5" customHeight="1">
      <c r="A24" s="179" t="s">
        <v>92</v>
      </c>
      <c r="B24" s="180">
        <f t="shared" si="0"/>
        <v>0.697916666666667</v>
      </c>
      <c r="C24" s="181">
        <v>215</v>
      </c>
      <c r="D24" s="182" t="str">
        <f>EQFF</f>
        <v>DINAN F</v>
      </c>
      <c r="E24" s="182" t="s">
        <v>153</v>
      </c>
      <c r="F24" s="183"/>
      <c r="G24" s="184"/>
      <c r="H24" s="184"/>
      <c r="I24" s="183"/>
      <c r="J24" s="182" t="s">
        <v>154</v>
      </c>
      <c r="K24" s="182" t="str">
        <f>EQFG</f>
        <v>SAINT-MALO F</v>
      </c>
      <c r="L24" s="206"/>
      <c r="M24" s="203"/>
      <c r="N24" s="204"/>
      <c r="O24" s="204"/>
    </row>
    <row r="25" spans="1:15" ht="16.5" customHeight="1">
      <c r="A25" s="179" t="s">
        <v>92</v>
      </c>
      <c r="B25" s="180">
        <f t="shared" si="0"/>
        <v>0.7180555555555559</v>
      </c>
      <c r="C25" s="181">
        <v>216</v>
      </c>
      <c r="D25" s="182" t="str">
        <f>EQFH</f>
        <v>MOIRANS F</v>
      </c>
      <c r="E25" s="182" t="s">
        <v>155</v>
      </c>
      <c r="F25" s="183"/>
      <c r="G25" s="184"/>
      <c r="H25" s="184"/>
      <c r="I25" s="183"/>
      <c r="J25" s="182" t="s">
        <v>150</v>
      </c>
      <c r="K25" s="182" t="str">
        <f>EQFC</f>
        <v>HYERES F</v>
      </c>
      <c r="L25" s="206"/>
      <c r="M25" s="203"/>
      <c r="N25" s="204"/>
      <c r="O25" s="204"/>
    </row>
    <row r="26" spans="1:15" ht="16.5" customHeight="1">
      <c r="A26" s="179" t="s">
        <v>92</v>
      </c>
      <c r="B26" s="180">
        <f t="shared" si="0"/>
        <v>0.7381944444444448</v>
      </c>
      <c r="C26" s="181">
        <v>217</v>
      </c>
      <c r="D26" s="185" t="str">
        <f>EQ2G</f>
        <v>MORLAIX</v>
      </c>
      <c r="E26" s="185" t="s">
        <v>110</v>
      </c>
      <c r="F26" s="186"/>
      <c r="G26" s="187"/>
      <c r="H26" s="187"/>
      <c r="I26" s="186"/>
      <c r="J26" s="207" t="s">
        <v>103</v>
      </c>
      <c r="K26" s="208" t="str">
        <f>EQ2C</f>
        <v>LE CHESNAY</v>
      </c>
      <c r="L26" s="206"/>
      <c r="M26" s="203"/>
      <c r="N26" s="204"/>
      <c r="O26" s="204"/>
    </row>
    <row r="27" spans="1:15" ht="16.5" customHeight="1">
      <c r="A27" s="179" t="s">
        <v>92</v>
      </c>
      <c r="B27" s="180">
        <f t="shared" si="0"/>
        <v>0.7583333333333337</v>
      </c>
      <c r="C27" s="181">
        <v>218</v>
      </c>
      <c r="D27" s="182" t="str">
        <f>EQFA</f>
        <v>LE CHESNAY F</v>
      </c>
      <c r="E27" s="182" t="s">
        <v>148</v>
      </c>
      <c r="F27" s="183"/>
      <c r="G27" s="184"/>
      <c r="H27" s="184"/>
      <c r="I27" s="183"/>
      <c r="J27" s="182" t="s">
        <v>152</v>
      </c>
      <c r="K27" s="182" t="str">
        <f>EQFE</f>
        <v>FONTENAY-TRESIGNY F</v>
      </c>
      <c r="L27" s="206"/>
      <c r="M27" s="203"/>
      <c r="N27" s="204"/>
      <c r="O27" s="204"/>
    </row>
    <row r="28" spans="1:15" ht="16.5" customHeight="1">
      <c r="A28" s="179" t="s">
        <v>92</v>
      </c>
      <c r="B28" s="180">
        <f t="shared" si="0"/>
        <v>0.7784722222222227</v>
      </c>
      <c r="C28" s="181">
        <v>219</v>
      </c>
      <c r="D28" s="182" t="str">
        <f>EQFB</f>
        <v>PONTOISE F</v>
      </c>
      <c r="E28" s="182" t="s">
        <v>149</v>
      </c>
      <c r="F28" s="183"/>
      <c r="G28" s="184"/>
      <c r="H28" s="184"/>
      <c r="I28" s="183"/>
      <c r="J28" s="182" t="s">
        <v>153</v>
      </c>
      <c r="K28" s="182" t="str">
        <f>EQFF</f>
        <v>DINAN F</v>
      </c>
      <c r="L28" s="206"/>
      <c r="M28" s="203"/>
      <c r="N28" s="204"/>
      <c r="O28" s="204"/>
    </row>
    <row r="29" spans="1:15" ht="16.5" customHeight="1">
      <c r="A29" s="179" t="s">
        <v>92</v>
      </c>
      <c r="B29" s="180">
        <f t="shared" si="0"/>
        <v>0.7986111111111116</v>
      </c>
      <c r="C29" s="181">
        <v>220</v>
      </c>
      <c r="D29" s="182" t="str">
        <f>EQFG</f>
        <v>SAINT-MALO F</v>
      </c>
      <c r="E29" s="182" t="s">
        <v>154</v>
      </c>
      <c r="F29" s="183"/>
      <c r="G29" s="184"/>
      <c r="H29" s="184"/>
      <c r="I29" s="183"/>
      <c r="J29" s="182" t="s">
        <v>150</v>
      </c>
      <c r="K29" s="182" t="str">
        <f>EQFC</f>
        <v>HYERES F</v>
      </c>
      <c r="L29" s="206"/>
      <c r="M29" s="203"/>
      <c r="N29" s="204"/>
      <c r="O29" s="204"/>
    </row>
    <row r="30" spans="1:15" ht="16.5" customHeight="1">
      <c r="A30" s="179" t="s">
        <v>92</v>
      </c>
      <c r="B30" s="180">
        <f t="shared" si="0"/>
        <v>0.8187500000000005</v>
      </c>
      <c r="C30" s="181">
        <v>221</v>
      </c>
      <c r="D30" s="182" t="str">
        <f>EQFH</f>
        <v>MOIRANS F</v>
      </c>
      <c r="E30" s="182" t="s">
        <v>155</v>
      </c>
      <c r="F30" s="183"/>
      <c r="G30" s="184"/>
      <c r="H30" s="184"/>
      <c r="I30" s="183"/>
      <c r="J30" s="182" t="s">
        <v>151</v>
      </c>
      <c r="K30" s="182" t="str">
        <f>EQFD</f>
        <v>HOPE F</v>
      </c>
      <c r="L30" s="206"/>
      <c r="M30" s="203"/>
      <c r="N30" s="204"/>
      <c r="O30" s="204"/>
    </row>
    <row r="31" spans="1:15" ht="16.5" customHeight="1">
      <c r="A31" s="179" t="s">
        <v>92</v>
      </c>
      <c r="B31" s="180">
        <f t="shared" si="0"/>
        <v>0.8388888888888895</v>
      </c>
      <c r="C31" s="181">
        <v>222</v>
      </c>
      <c r="D31" s="185" t="str">
        <f>EQ2H</f>
        <v>ERMONT</v>
      </c>
      <c r="E31" s="185" t="s">
        <v>111</v>
      </c>
      <c r="F31" s="186"/>
      <c r="G31" s="187"/>
      <c r="H31" s="187"/>
      <c r="I31" s="186"/>
      <c r="J31" s="207" t="s">
        <v>104</v>
      </c>
      <c r="K31" s="208" t="str">
        <f>EQ2D</f>
        <v>NANTES</v>
      </c>
      <c r="L31" s="206"/>
      <c r="M31" s="203"/>
      <c r="N31" s="204"/>
      <c r="O31" s="204"/>
    </row>
    <row r="32" spans="1:15" ht="16.5" customHeight="1">
      <c r="A32" s="179" t="s">
        <v>92</v>
      </c>
      <c r="B32" s="180">
        <f t="shared" si="0"/>
        <v>0.8590277777777784</v>
      </c>
      <c r="C32" s="188"/>
      <c r="D32" s="189"/>
      <c r="E32" s="189"/>
      <c r="F32" s="190"/>
      <c r="G32" s="189"/>
      <c r="H32" s="189"/>
      <c r="I32" s="190"/>
      <c r="J32" s="189"/>
      <c r="K32" s="189"/>
      <c r="L32" s="190"/>
      <c r="M32" s="211"/>
      <c r="N32" s="212"/>
      <c r="O32" s="212"/>
    </row>
    <row r="33" spans="1:15" ht="9.75" customHeight="1">
      <c r="A33" s="191"/>
      <c r="B33" s="192"/>
      <c r="C33" s="191"/>
      <c r="D33" s="191"/>
      <c r="E33" s="191"/>
      <c r="F33" s="191"/>
      <c r="G33" s="193"/>
      <c r="H33" s="193"/>
      <c r="I33" s="191"/>
      <c r="J33" s="191"/>
      <c r="K33" s="191"/>
      <c r="L33" s="191"/>
      <c r="M33" s="213"/>
      <c r="N33" s="214"/>
      <c r="O33" s="214"/>
    </row>
    <row r="34" spans="1:15" ht="16.5" customHeight="1">
      <c r="A34" s="179" t="s">
        <v>112</v>
      </c>
      <c r="B34" s="180">
        <v>0.3541666666666667</v>
      </c>
      <c r="C34" s="181">
        <v>223</v>
      </c>
      <c r="D34" s="182" t="str">
        <f>EQFF</f>
        <v>DINAN F</v>
      </c>
      <c r="E34" s="182" t="s">
        <v>153</v>
      </c>
      <c r="F34" s="183"/>
      <c r="G34" s="184"/>
      <c r="H34" s="184"/>
      <c r="I34" s="183"/>
      <c r="J34" s="182" t="s">
        <v>148</v>
      </c>
      <c r="K34" s="182" t="str">
        <f>EQFA</f>
        <v>LE CHESNAY F</v>
      </c>
      <c r="L34" s="206"/>
      <c r="M34" s="203"/>
      <c r="N34" s="203"/>
      <c r="O34" s="203"/>
    </row>
    <row r="35" spans="1:15" ht="16.5" customHeight="1">
      <c r="A35" s="179" t="s">
        <v>112</v>
      </c>
      <c r="B35" s="180">
        <f aca="true" t="shared" si="1" ref="B35:B58">B34+durée1</f>
        <v>0.37430555555555556</v>
      </c>
      <c r="C35" s="181">
        <v>224</v>
      </c>
      <c r="D35" s="182" t="str">
        <f>EQFC</f>
        <v>HYERES F</v>
      </c>
      <c r="E35" s="182" t="s">
        <v>150</v>
      </c>
      <c r="F35" s="183"/>
      <c r="G35" s="184"/>
      <c r="H35" s="184"/>
      <c r="I35" s="183"/>
      <c r="J35" s="182" t="s">
        <v>149</v>
      </c>
      <c r="K35" s="182" t="str">
        <f>EQFB</f>
        <v>PONTOISE F</v>
      </c>
      <c r="L35" s="206"/>
      <c r="M35" s="203"/>
      <c r="N35" s="203"/>
      <c r="O35" s="204"/>
    </row>
    <row r="36" spans="1:15" ht="16.5" customHeight="1">
      <c r="A36" s="179" t="s">
        <v>112</v>
      </c>
      <c r="B36" s="180">
        <f t="shared" si="1"/>
        <v>0.39444444444444443</v>
      </c>
      <c r="C36" s="181">
        <v>225</v>
      </c>
      <c r="D36" s="182" t="str">
        <f>EQFD</f>
        <v>HOPE F</v>
      </c>
      <c r="E36" s="182" t="s">
        <v>151</v>
      </c>
      <c r="F36" s="183"/>
      <c r="G36" s="184"/>
      <c r="H36" s="184"/>
      <c r="I36" s="183"/>
      <c r="J36" s="182" t="s">
        <v>154</v>
      </c>
      <c r="K36" s="182" t="str">
        <f>EQFG</f>
        <v>SAINT-MALO F</v>
      </c>
      <c r="L36" s="206"/>
      <c r="M36" s="203"/>
      <c r="N36" s="204"/>
      <c r="O36" s="203"/>
    </row>
    <row r="37" spans="1:15" ht="16.5" customHeight="1">
      <c r="A37" s="179" t="s">
        <v>112</v>
      </c>
      <c r="B37" s="180">
        <f t="shared" si="1"/>
        <v>0.4145833333333333</v>
      </c>
      <c r="C37" s="181">
        <v>226</v>
      </c>
      <c r="D37" s="182" t="str">
        <f>EQFH</f>
        <v>MOIRANS F</v>
      </c>
      <c r="E37" s="182" t="s">
        <v>155</v>
      </c>
      <c r="F37" s="183"/>
      <c r="G37" s="184"/>
      <c r="H37" s="184"/>
      <c r="I37" s="183"/>
      <c r="J37" s="182" t="s">
        <v>152</v>
      </c>
      <c r="K37" s="182" t="str">
        <f>EQFE</f>
        <v>FONTENAY-TRESIGNY F</v>
      </c>
      <c r="L37" s="206"/>
      <c r="M37" s="203"/>
      <c r="N37" s="203"/>
      <c r="O37" s="203"/>
    </row>
    <row r="38" spans="1:15" ht="16.5" customHeight="1">
      <c r="A38" s="179" t="s">
        <v>112</v>
      </c>
      <c r="B38" s="180">
        <f t="shared" si="1"/>
        <v>0.4347222222222222</v>
      </c>
      <c r="C38" s="181">
        <v>227</v>
      </c>
      <c r="D38" s="185" t="str">
        <f>EQ2D</f>
        <v>NANTES</v>
      </c>
      <c r="E38" s="185" t="s">
        <v>104</v>
      </c>
      <c r="F38" s="186"/>
      <c r="G38" s="187"/>
      <c r="H38" s="187"/>
      <c r="I38" s="186"/>
      <c r="J38" s="207" t="s">
        <v>110</v>
      </c>
      <c r="K38" s="208" t="str">
        <f>EQ2G</f>
        <v>MORLAIX</v>
      </c>
      <c r="L38" s="206"/>
      <c r="M38" s="203"/>
      <c r="N38" s="203"/>
      <c r="O38" s="203"/>
    </row>
    <row r="39" spans="1:15" ht="16.5" customHeight="1">
      <c r="A39" s="179" t="s">
        <v>112</v>
      </c>
      <c r="B39" s="180">
        <f t="shared" si="1"/>
        <v>0.45486111111111105</v>
      </c>
      <c r="C39" s="181">
        <v>228</v>
      </c>
      <c r="D39" s="185" t="str">
        <f>EQ2H</f>
        <v>ERMONT</v>
      </c>
      <c r="E39" s="185" t="s">
        <v>111</v>
      </c>
      <c r="F39" s="186"/>
      <c r="G39" s="187"/>
      <c r="H39" s="187"/>
      <c r="I39" s="186"/>
      <c r="J39" s="207" t="s">
        <v>108</v>
      </c>
      <c r="K39" s="208" t="str">
        <f>EQ2E</f>
        <v>LE PUY EN VELAY</v>
      </c>
      <c r="L39" s="206"/>
      <c r="M39" s="203"/>
      <c r="N39" s="203"/>
      <c r="O39" s="203"/>
    </row>
    <row r="40" spans="1:15" ht="16.5" customHeight="1">
      <c r="A40" s="179" t="s">
        <v>112</v>
      </c>
      <c r="B40" s="180">
        <f t="shared" si="1"/>
        <v>0.4749999999999999</v>
      </c>
      <c r="C40" s="181">
        <v>229</v>
      </c>
      <c r="D40" s="182" t="str">
        <f>EQFC</f>
        <v>HYERES F</v>
      </c>
      <c r="E40" s="182" t="s">
        <v>150</v>
      </c>
      <c r="F40" s="183"/>
      <c r="G40" s="184"/>
      <c r="H40" s="184"/>
      <c r="I40" s="183"/>
      <c r="J40" s="182" t="s">
        <v>153</v>
      </c>
      <c r="K40" s="182" t="str">
        <f>EQFF</f>
        <v>DINAN F</v>
      </c>
      <c r="L40" s="206"/>
      <c r="M40" s="209"/>
      <c r="N40" s="209"/>
      <c r="O40" s="203"/>
    </row>
    <row r="41" spans="1:15" ht="16.5" customHeight="1">
      <c r="A41" s="179" t="s">
        <v>112</v>
      </c>
      <c r="B41" s="180">
        <f t="shared" si="1"/>
        <v>0.4951388888888888</v>
      </c>
      <c r="C41" s="181">
        <v>230</v>
      </c>
      <c r="D41" s="182" t="str">
        <f>EQFG</f>
        <v>SAINT-MALO F</v>
      </c>
      <c r="E41" s="182" t="s">
        <v>154</v>
      </c>
      <c r="F41" s="183"/>
      <c r="G41" s="184"/>
      <c r="H41" s="184"/>
      <c r="I41" s="183"/>
      <c r="J41" s="182" t="s">
        <v>148</v>
      </c>
      <c r="K41" s="182" t="str">
        <f>EQFA</f>
        <v>LE CHESNAY F</v>
      </c>
      <c r="L41" s="206"/>
      <c r="M41" s="203"/>
      <c r="N41" s="209"/>
      <c r="O41" s="209"/>
    </row>
    <row r="42" spans="1:15" ht="16.5" customHeight="1">
      <c r="A42" s="179" t="s">
        <v>112</v>
      </c>
      <c r="B42" s="180">
        <f t="shared" si="1"/>
        <v>0.5152777777777777</v>
      </c>
      <c r="C42" s="181">
        <v>231</v>
      </c>
      <c r="D42" s="182" t="str">
        <f>EQFB</f>
        <v>PONTOISE F</v>
      </c>
      <c r="E42" s="182" t="s">
        <v>149</v>
      </c>
      <c r="F42" s="183"/>
      <c r="G42" s="184"/>
      <c r="H42" s="184"/>
      <c r="I42" s="183"/>
      <c r="J42" s="182" t="s">
        <v>155</v>
      </c>
      <c r="K42" s="182" t="str">
        <f>EQFH</f>
        <v>MOIRANS F</v>
      </c>
      <c r="L42" s="206"/>
      <c r="M42" s="209"/>
      <c r="N42" s="203"/>
      <c r="O42" s="203"/>
    </row>
    <row r="43" spans="1:15" ht="16.5" customHeight="1">
      <c r="A43" s="179" t="s">
        <v>112</v>
      </c>
      <c r="B43" s="180">
        <f t="shared" si="1"/>
        <v>0.5354166666666667</v>
      </c>
      <c r="C43" s="181">
        <v>232</v>
      </c>
      <c r="D43" s="182" t="str">
        <f>EQFE</f>
        <v>FONTENAY-TRESIGNY F</v>
      </c>
      <c r="E43" s="182" t="s">
        <v>152</v>
      </c>
      <c r="F43" s="183"/>
      <c r="G43" s="184"/>
      <c r="H43" s="184"/>
      <c r="I43" s="183"/>
      <c r="J43" s="182" t="s">
        <v>151</v>
      </c>
      <c r="K43" s="182" t="str">
        <f>EQFD</f>
        <v>HOPE F</v>
      </c>
      <c r="L43" s="206"/>
      <c r="M43" s="209"/>
      <c r="N43" s="209"/>
      <c r="O43" s="203"/>
    </row>
    <row r="44" spans="1:15" ht="16.5" customHeight="1">
      <c r="A44" s="179" t="s">
        <v>112</v>
      </c>
      <c r="B44" s="180">
        <f t="shared" si="1"/>
        <v>0.5555555555555556</v>
      </c>
      <c r="C44" s="181">
        <v>233</v>
      </c>
      <c r="D44" s="185" t="str">
        <f>EQ2B</f>
        <v>FRANCONVILLE</v>
      </c>
      <c r="E44" s="185" t="s">
        <v>102</v>
      </c>
      <c r="F44" s="186"/>
      <c r="G44" s="187"/>
      <c r="H44" s="187"/>
      <c r="I44" s="186"/>
      <c r="J44" s="207" t="s">
        <v>111</v>
      </c>
      <c r="K44" s="208" t="str">
        <f>EQ2H</f>
        <v>ERMONT</v>
      </c>
      <c r="L44" s="206"/>
      <c r="M44" s="203"/>
      <c r="N44" s="203"/>
      <c r="O44" s="209"/>
    </row>
    <row r="45" spans="1:15" ht="16.5" customHeight="1">
      <c r="A45" s="179" t="s">
        <v>112</v>
      </c>
      <c r="B45" s="180">
        <f t="shared" si="1"/>
        <v>0.5756944444444445</v>
      </c>
      <c r="C45" s="181"/>
      <c r="D45" s="292" t="s">
        <v>105</v>
      </c>
      <c r="E45" s="293"/>
      <c r="F45" s="293"/>
      <c r="G45" s="293"/>
      <c r="H45" s="293"/>
      <c r="I45" s="293"/>
      <c r="J45" s="293"/>
      <c r="K45" s="294"/>
      <c r="L45" s="206"/>
      <c r="M45" s="203" t="s">
        <v>106</v>
      </c>
      <c r="N45" s="203" t="s">
        <v>106</v>
      </c>
      <c r="O45" s="203" t="s">
        <v>106</v>
      </c>
    </row>
    <row r="46" spans="1:15" ht="16.5" customHeight="1">
      <c r="A46" s="179" t="s">
        <v>112</v>
      </c>
      <c r="B46" s="180">
        <f t="shared" si="1"/>
        <v>0.5958333333333334</v>
      </c>
      <c r="C46" s="181">
        <v>234</v>
      </c>
      <c r="D46" s="187" t="str">
        <f>EQ2E</f>
        <v>LE PUY EN VELAY</v>
      </c>
      <c r="E46" s="187" t="s">
        <v>108</v>
      </c>
      <c r="F46" s="194"/>
      <c r="G46" s="187"/>
      <c r="H46" s="187"/>
      <c r="I46" s="194"/>
      <c r="J46" s="215" t="s">
        <v>104</v>
      </c>
      <c r="K46" s="216" t="str">
        <f>EQ2D</f>
        <v>NANTES</v>
      </c>
      <c r="L46" s="206"/>
      <c r="M46" s="203"/>
      <c r="N46" s="203"/>
      <c r="O46" s="203"/>
    </row>
    <row r="47" spans="1:15" ht="16.5" customHeight="1">
      <c r="A47" s="179" t="s">
        <v>112</v>
      </c>
      <c r="B47" s="180">
        <f t="shared" si="1"/>
        <v>0.6159722222222224</v>
      </c>
      <c r="C47" s="181">
        <v>235</v>
      </c>
      <c r="D47" s="184" t="str">
        <f>EQFA</f>
        <v>LE CHESNAY F</v>
      </c>
      <c r="E47" s="184" t="s">
        <v>148</v>
      </c>
      <c r="F47" s="195"/>
      <c r="G47" s="184"/>
      <c r="H47" s="184"/>
      <c r="I47" s="195"/>
      <c r="J47" s="184" t="s">
        <v>155</v>
      </c>
      <c r="K47" s="184" t="str">
        <f>EQFH</f>
        <v>MOIRANS F</v>
      </c>
      <c r="L47" s="206"/>
      <c r="M47" s="203"/>
      <c r="N47" s="203"/>
      <c r="O47" s="203"/>
    </row>
    <row r="48" spans="1:15" ht="16.5" customHeight="1">
      <c r="A48" s="179" t="s">
        <v>112</v>
      </c>
      <c r="B48" s="180">
        <f t="shared" si="1"/>
        <v>0.6361111111111113</v>
      </c>
      <c r="C48" s="181">
        <v>236</v>
      </c>
      <c r="D48" s="184" t="str">
        <f>EQFG</f>
        <v>SAINT-MALO F</v>
      </c>
      <c r="E48" s="184" t="s">
        <v>154</v>
      </c>
      <c r="F48" s="195"/>
      <c r="G48" s="184"/>
      <c r="H48" s="184"/>
      <c r="I48" s="195"/>
      <c r="J48" s="184" t="s">
        <v>149</v>
      </c>
      <c r="K48" s="184" t="str">
        <f>EQFB</f>
        <v>PONTOISE F</v>
      </c>
      <c r="L48" s="206"/>
      <c r="M48" s="203"/>
      <c r="N48" s="203"/>
      <c r="O48" s="203"/>
    </row>
    <row r="49" spans="1:15" ht="16.5" customHeight="1">
      <c r="A49" s="179" t="s">
        <v>112</v>
      </c>
      <c r="B49" s="180">
        <f t="shared" si="1"/>
        <v>0.6562500000000002</v>
      </c>
      <c r="C49" s="181">
        <v>237</v>
      </c>
      <c r="D49" s="184" t="str">
        <f>EQFD</f>
        <v>HOPE F</v>
      </c>
      <c r="E49" s="184" t="s">
        <v>151</v>
      </c>
      <c r="F49" s="195"/>
      <c r="G49" s="184"/>
      <c r="H49" s="184"/>
      <c r="I49" s="195"/>
      <c r="J49" s="184" t="s">
        <v>153</v>
      </c>
      <c r="K49" s="184" t="str">
        <f>EQFF</f>
        <v>DINAN F</v>
      </c>
      <c r="L49" s="206"/>
      <c r="M49" s="203"/>
      <c r="N49" s="203"/>
      <c r="O49" s="203"/>
    </row>
    <row r="50" spans="1:15" ht="16.5" customHeight="1">
      <c r="A50" s="179" t="s">
        <v>112</v>
      </c>
      <c r="B50" s="180">
        <f t="shared" si="1"/>
        <v>0.6763888888888892</v>
      </c>
      <c r="C50" s="181">
        <v>238</v>
      </c>
      <c r="D50" s="184" t="str">
        <f>EQFC</f>
        <v>HYERES F</v>
      </c>
      <c r="E50" s="184" t="s">
        <v>150</v>
      </c>
      <c r="F50" s="195"/>
      <c r="G50" s="184"/>
      <c r="H50" s="184"/>
      <c r="I50" s="195"/>
      <c r="J50" s="184" t="s">
        <v>152</v>
      </c>
      <c r="K50" s="184" t="str">
        <f>EQFE</f>
        <v>FONTENAY-TRESIGNY F</v>
      </c>
      <c r="L50" s="206"/>
      <c r="M50" s="203"/>
      <c r="N50" s="203"/>
      <c r="O50" s="203"/>
    </row>
    <row r="51" spans="1:15" ht="16.5" customHeight="1">
      <c r="A51" s="179" t="s">
        <v>112</v>
      </c>
      <c r="B51" s="180">
        <f t="shared" si="1"/>
        <v>0.6965277777777781</v>
      </c>
      <c r="C51" s="181">
        <v>239</v>
      </c>
      <c r="D51" s="187" t="str">
        <f>EQ2D</f>
        <v>NANTES</v>
      </c>
      <c r="E51" s="187" t="s">
        <v>104</v>
      </c>
      <c r="F51" s="194"/>
      <c r="G51" s="187"/>
      <c r="H51" s="187"/>
      <c r="I51" s="194"/>
      <c r="J51" s="215" t="s">
        <v>109</v>
      </c>
      <c r="K51" s="216" t="str">
        <f>EQ2F</f>
        <v>HYERES</v>
      </c>
      <c r="L51" s="206"/>
      <c r="M51" s="203"/>
      <c r="N51" s="203"/>
      <c r="O51" s="203"/>
    </row>
    <row r="52" spans="1:15" ht="16.5" customHeight="1">
      <c r="A52" s="179" t="s">
        <v>112</v>
      </c>
      <c r="B52" s="180">
        <f t="shared" si="1"/>
        <v>0.716666666666667</v>
      </c>
      <c r="C52" s="181">
        <v>240</v>
      </c>
      <c r="D52" s="187" t="str">
        <f>EQ2C</f>
        <v>LE CHESNAY</v>
      </c>
      <c r="E52" s="187" t="s">
        <v>103</v>
      </c>
      <c r="F52" s="194"/>
      <c r="G52" s="187"/>
      <c r="H52" s="187"/>
      <c r="I52" s="194"/>
      <c r="J52" s="215" t="s">
        <v>108</v>
      </c>
      <c r="K52" s="216" t="str">
        <f>EQ2E</f>
        <v>LE PUY EN VELAY</v>
      </c>
      <c r="L52" s="206"/>
      <c r="M52" s="203"/>
      <c r="N52" s="203"/>
      <c r="O52" s="203"/>
    </row>
    <row r="53" spans="1:15" ht="16.5" customHeight="1">
      <c r="A53" s="179" t="s">
        <v>112</v>
      </c>
      <c r="B53" s="180">
        <f t="shared" si="1"/>
        <v>0.7368055555555559</v>
      </c>
      <c r="C53" s="181">
        <v>241</v>
      </c>
      <c r="D53" s="184">
        <f>IF(Féminines!C30="","",Féminines!C30)</f>
      </c>
      <c r="E53" s="184" t="s">
        <v>156</v>
      </c>
      <c r="F53" s="195"/>
      <c r="G53" s="184"/>
      <c r="H53" s="184"/>
      <c r="I53" s="195"/>
      <c r="J53" s="184" t="s">
        <v>157</v>
      </c>
      <c r="K53" s="184">
        <f>IF(Féminines!C31="","",Féminines!C31)</f>
      </c>
      <c r="L53" s="206"/>
      <c r="M53" s="203"/>
      <c r="N53" s="203"/>
      <c r="O53" s="203"/>
    </row>
    <row r="54" spans="1:15" ht="16.5" customHeight="1">
      <c r="A54" s="179" t="s">
        <v>112</v>
      </c>
      <c r="B54" s="180">
        <f t="shared" si="1"/>
        <v>0.7569444444444449</v>
      </c>
      <c r="C54" s="181">
        <v>242</v>
      </c>
      <c r="D54" s="184">
        <f>IF(Féminines!H30="","",Féminines!H30)</f>
      </c>
      <c r="E54" s="184" t="s">
        <v>158</v>
      </c>
      <c r="F54" s="195"/>
      <c r="G54" s="184"/>
      <c r="H54" s="184"/>
      <c r="I54" s="195"/>
      <c r="J54" s="184" t="s">
        <v>159</v>
      </c>
      <c r="K54" s="184">
        <f>IF(Féminines!H31="","",Féminines!H31)</f>
      </c>
      <c r="L54" s="206"/>
      <c r="M54" s="203"/>
      <c r="N54" s="203"/>
      <c r="O54" s="203"/>
    </row>
    <row r="55" spans="1:15" ht="16.5" customHeight="1">
      <c r="A55" s="179" t="s">
        <v>112</v>
      </c>
      <c r="B55" s="180">
        <f t="shared" si="1"/>
        <v>0.7770833333333338</v>
      </c>
      <c r="C55" s="181">
        <v>243</v>
      </c>
      <c r="D55" s="184">
        <f>IF(Féminines!P30="","",Féminines!P30)</f>
      </c>
      <c r="E55" s="184" t="s">
        <v>160</v>
      </c>
      <c r="F55" s="195"/>
      <c r="G55" s="184"/>
      <c r="H55" s="184"/>
      <c r="I55" s="195"/>
      <c r="J55" s="184" t="s">
        <v>161</v>
      </c>
      <c r="K55" s="184">
        <f>IF(Féminines!P31="","",Féminines!P31)</f>
      </c>
      <c r="L55" s="206"/>
      <c r="M55" s="203"/>
      <c r="N55" s="203"/>
      <c r="O55" s="203"/>
    </row>
    <row r="56" spans="1:15" ht="16.5" customHeight="1">
      <c r="A56" s="179" t="s">
        <v>112</v>
      </c>
      <c r="B56" s="180">
        <f t="shared" si="1"/>
        <v>0.7972222222222227</v>
      </c>
      <c r="C56" s="181">
        <v>244</v>
      </c>
      <c r="D56" s="184">
        <f>IF(Féminines!Y30="","",Féminines!Y30)</f>
      </c>
      <c r="E56" s="184" t="s">
        <v>162</v>
      </c>
      <c r="F56" s="195"/>
      <c r="G56" s="184"/>
      <c r="H56" s="184"/>
      <c r="I56" s="195"/>
      <c r="J56" s="184" t="s">
        <v>163</v>
      </c>
      <c r="K56" s="184">
        <f>IF(Féminines!Y31="","",Féminines!Y31)</f>
      </c>
      <c r="L56" s="206"/>
      <c r="M56" s="203"/>
      <c r="N56" s="203"/>
      <c r="O56" s="203"/>
    </row>
    <row r="57" spans="1:15" ht="16.5" customHeight="1">
      <c r="A57" s="179" t="s">
        <v>112</v>
      </c>
      <c r="B57" s="180">
        <f t="shared" si="1"/>
        <v>0.8173611111111116</v>
      </c>
      <c r="C57" s="181">
        <v>245</v>
      </c>
      <c r="D57" s="187">
        <f>IF('Groupe A'!H29="","",'Groupe A'!H29)</f>
      </c>
      <c r="E57" s="196" t="s">
        <v>164</v>
      </c>
      <c r="F57" s="194"/>
      <c r="G57" s="187"/>
      <c r="H57" s="187"/>
      <c r="I57" s="194"/>
      <c r="J57" s="217" t="s">
        <v>165</v>
      </c>
      <c r="K57" s="216">
        <f>IF('Groupe A'!H30="","",'Groupe A'!H30)</f>
      </c>
      <c r="L57" s="206"/>
      <c r="M57" s="203"/>
      <c r="N57" s="203"/>
      <c r="O57" s="203"/>
    </row>
    <row r="58" spans="1:15" ht="16.5" customHeight="1">
      <c r="A58" s="179" t="s">
        <v>112</v>
      </c>
      <c r="B58" s="180">
        <f t="shared" si="1"/>
        <v>0.8375000000000006</v>
      </c>
      <c r="C58" s="188"/>
      <c r="D58" s="197"/>
      <c r="E58" s="197"/>
      <c r="F58" s="198"/>
      <c r="G58" s="197"/>
      <c r="H58" s="197"/>
      <c r="I58" s="198"/>
      <c r="J58" s="197"/>
      <c r="K58" s="197"/>
      <c r="L58" s="190"/>
      <c r="M58" s="211"/>
      <c r="N58" s="212"/>
      <c r="O58" s="212"/>
    </row>
    <row r="59" spans="1:15" ht="9.75" customHeight="1">
      <c r="A59" s="191"/>
      <c r="B59" s="192"/>
      <c r="C59" s="191"/>
      <c r="D59" s="199"/>
      <c r="E59" s="199"/>
      <c r="F59" s="199"/>
      <c r="G59" s="200"/>
      <c r="H59" s="200"/>
      <c r="I59" s="199"/>
      <c r="J59" s="199"/>
      <c r="K59" s="199"/>
      <c r="L59" s="191"/>
      <c r="M59" s="213"/>
      <c r="N59" s="214"/>
      <c r="O59" s="214"/>
    </row>
    <row r="60" spans="1:15" ht="16.5" customHeight="1">
      <c r="A60" s="179" t="s">
        <v>115</v>
      </c>
      <c r="B60" s="180">
        <v>0.3541666666666667</v>
      </c>
      <c r="C60" s="181">
        <v>246</v>
      </c>
      <c r="D60" s="187">
        <f>IF('Groupe B'!C28="","",'Groupe B'!C28)</f>
      </c>
      <c r="E60" s="187" t="s">
        <v>166</v>
      </c>
      <c r="F60" s="187"/>
      <c r="G60" s="187"/>
      <c r="H60" s="187"/>
      <c r="I60" s="187"/>
      <c r="J60" s="187" t="s">
        <v>167</v>
      </c>
      <c r="K60" s="187">
        <f>IF('Groupe B'!C29="","",'Groupe B'!C29)</f>
      </c>
      <c r="L60" s="206"/>
      <c r="M60" s="203"/>
      <c r="N60" s="203"/>
      <c r="O60" s="203"/>
    </row>
    <row r="61" spans="1:15" ht="16.5" customHeight="1">
      <c r="A61" s="179" t="s">
        <v>115</v>
      </c>
      <c r="B61" s="180">
        <f aca="true" t="shared" si="2" ref="B61:B77">B60+durée1</f>
        <v>0.37430555555555556</v>
      </c>
      <c r="C61" s="181">
        <v>247</v>
      </c>
      <c r="D61" s="187">
        <f>IF('Groupe B'!H28="","",'Groupe B'!H28)</f>
      </c>
      <c r="E61" s="187" t="s">
        <v>168</v>
      </c>
      <c r="F61" s="187"/>
      <c r="G61" s="187"/>
      <c r="H61" s="187"/>
      <c r="I61" s="187"/>
      <c r="J61" s="187" t="s">
        <v>169</v>
      </c>
      <c r="K61" s="187">
        <f>IF('Groupe B'!H29="","",'Groupe B'!H29)</f>
      </c>
      <c r="L61" s="206"/>
      <c r="M61" s="203"/>
      <c r="N61" s="203"/>
      <c r="O61" s="204"/>
    </row>
    <row r="62" spans="1:15" ht="16.5" customHeight="1">
      <c r="A62" s="179" t="s">
        <v>115</v>
      </c>
      <c r="B62" s="180">
        <f t="shared" si="2"/>
        <v>0.39444444444444443</v>
      </c>
      <c r="C62" s="181">
        <v>248</v>
      </c>
      <c r="D62" s="187">
        <f>IF('Groupe B'!P28="","",'Groupe B'!P28)</f>
      </c>
      <c r="E62" s="187" t="s">
        <v>170</v>
      </c>
      <c r="F62" s="187"/>
      <c r="G62" s="187"/>
      <c r="H62" s="187"/>
      <c r="I62" s="187"/>
      <c r="J62" s="187" t="s">
        <v>171</v>
      </c>
      <c r="K62" s="187">
        <f>IF('Groupe B'!P29="","",'Groupe B'!P29)</f>
      </c>
      <c r="L62" s="206"/>
      <c r="M62" s="203"/>
      <c r="N62" s="204"/>
      <c r="O62" s="203"/>
    </row>
    <row r="63" spans="1:15" ht="16.5" customHeight="1">
      <c r="A63" s="179" t="s">
        <v>115</v>
      </c>
      <c r="B63" s="180">
        <f t="shared" si="2"/>
        <v>0.4145833333333333</v>
      </c>
      <c r="C63" s="181">
        <v>249</v>
      </c>
      <c r="D63" s="187">
        <f>IF('Groupe B'!Y28="","",'Groupe B'!Y28)</f>
      </c>
      <c r="E63" s="187" t="s">
        <v>172</v>
      </c>
      <c r="F63" s="187"/>
      <c r="G63" s="187"/>
      <c r="H63" s="187"/>
      <c r="I63" s="187"/>
      <c r="J63" s="187" t="s">
        <v>173</v>
      </c>
      <c r="K63" s="187">
        <f>IF('Groupe B'!Y29="","",'Groupe B'!Y29)</f>
      </c>
      <c r="L63" s="206"/>
      <c r="M63" s="203"/>
      <c r="N63" s="203"/>
      <c r="O63" s="203"/>
    </row>
    <row r="64" spans="1:15" ht="16.5" customHeight="1">
      <c r="A64" s="179" t="s">
        <v>115</v>
      </c>
      <c r="B64" s="180">
        <f t="shared" si="2"/>
        <v>0.4347222222222222</v>
      </c>
      <c r="C64" s="181">
        <v>250</v>
      </c>
      <c r="D64" s="184">
        <f>Féminines!C35</f>
      </c>
      <c r="E64" s="184" t="s">
        <v>174</v>
      </c>
      <c r="F64" s="195"/>
      <c r="G64" s="184"/>
      <c r="H64" s="184"/>
      <c r="I64" s="195"/>
      <c r="J64" s="184" t="s">
        <v>175</v>
      </c>
      <c r="K64" s="184">
        <f>Féminines!C34</f>
      </c>
      <c r="L64" s="206"/>
      <c r="M64" s="203"/>
      <c r="N64" s="203"/>
      <c r="O64" s="209"/>
    </row>
    <row r="65" spans="1:15" ht="16.5" customHeight="1">
      <c r="A65" s="179" t="s">
        <v>115</v>
      </c>
      <c r="B65" s="180">
        <f t="shared" si="2"/>
        <v>0.45486111111111105</v>
      </c>
      <c r="C65" s="181">
        <v>251</v>
      </c>
      <c r="D65" s="184">
        <f>Féminines!H35</f>
      </c>
      <c r="E65" s="184" t="s">
        <v>176</v>
      </c>
      <c r="F65" s="195"/>
      <c r="G65" s="184"/>
      <c r="H65" s="184"/>
      <c r="I65" s="195"/>
      <c r="J65" s="184" t="s">
        <v>177</v>
      </c>
      <c r="K65" s="184">
        <f>Féminines!H34</f>
      </c>
      <c r="L65" s="206"/>
      <c r="M65" s="203"/>
      <c r="N65" s="203"/>
      <c r="O65" s="209"/>
    </row>
    <row r="66" spans="1:15" ht="16.5" customHeight="1">
      <c r="A66" s="179" t="s">
        <v>115</v>
      </c>
      <c r="B66" s="180">
        <f t="shared" si="2"/>
        <v>0.4749999999999999</v>
      </c>
      <c r="C66" s="181">
        <v>252</v>
      </c>
      <c r="D66" s="184">
        <f>Féminines!P35</f>
      </c>
      <c r="E66" s="184" t="s">
        <v>178</v>
      </c>
      <c r="F66" s="195"/>
      <c r="G66" s="184"/>
      <c r="H66" s="184"/>
      <c r="I66" s="195"/>
      <c r="J66" s="184" t="s">
        <v>179</v>
      </c>
      <c r="K66" s="184">
        <f>Féminines!P34</f>
      </c>
      <c r="L66" s="206"/>
      <c r="M66" s="209"/>
      <c r="N66" s="209"/>
      <c r="O66" s="209"/>
    </row>
    <row r="67" spans="1:15" ht="16.5" customHeight="1">
      <c r="A67" s="179" t="s">
        <v>115</v>
      </c>
      <c r="B67" s="180">
        <f t="shared" si="2"/>
        <v>0.4951388888888888</v>
      </c>
      <c r="C67" s="181">
        <v>253</v>
      </c>
      <c r="D67" s="184">
        <f>Féminines!Y35</f>
      </c>
      <c r="E67" s="184" t="s">
        <v>180</v>
      </c>
      <c r="F67" s="195"/>
      <c r="G67" s="184"/>
      <c r="H67" s="184"/>
      <c r="I67" s="195"/>
      <c r="J67" s="184" t="s">
        <v>181</v>
      </c>
      <c r="K67" s="184">
        <f>Féminines!Y34</f>
      </c>
      <c r="L67" s="206"/>
      <c r="M67" s="203"/>
      <c r="N67" s="209"/>
      <c r="O67" s="203"/>
    </row>
    <row r="68" spans="1:15" ht="16.5" customHeight="1">
      <c r="A68" s="179" t="s">
        <v>115</v>
      </c>
      <c r="B68" s="180">
        <f t="shared" si="2"/>
        <v>0.5152777777777777</v>
      </c>
      <c r="C68" s="181"/>
      <c r="D68" s="298" t="s">
        <v>105</v>
      </c>
      <c r="E68" s="299"/>
      <c r="F68" s="299"/>
      <c r="G68" s="299"/>
      <c r="H68" s="299"/>
      <c r="I68" s="299"/>
      <c r="J68" s="299"/>
      <c r="K68" s="300"/>
      <c r="L68" s="206"/>
      <c r="M68" s="203" t="s">
        <v>106</v>
      </c>
      <c r="N68" s="203" t="s">
        <v>106</v>
      </c>
      <c r="O68" s="203" t="s">
        <v>106</v>
      </c>
    </row>
    <row r="69" spans="1:15" ht="16.5" customHeight="1">
      <c r="A69" s="179" t="s">
        <v>115</v>
      </c>
      <c r="B69" s="180">
        <f t="shared" si="2"/>
        <v>0.5354166666666667</v>
      </c>
      <c r="C69" s="181">
        <v>254</v>
      </c>
      <c r="D69" s="187">
        <f>'Groupe B'!H33</f>
      </c>
      <c r="E69" s="187" t="s">
        <v>182</v>
      </c>
      <c r="F69" s="187"/>
      <c r="G69" s="187"/>
      <c r="H69" s="187"/>
      <c r="I69" s="187"/>
      <c r="J69" s="187" t="s">
        <v>183</v>
      </c>
      <c r="K69" s="187">
        <f>'Groupe B'!H32</f>
      </c>
      <c r="L69" s="206"/>
      <c r="M69" s="203"/>
      <c r="N69" s="209"/>
      <c r="O69" s="203"/>
    </row>
    <row r="70" spans="1:15" ht="16.5" customHeight="1">
      <c r="A70" s="179" t="s">
        <v>115</v>
      </c>
      <c r="B70" s="180">
        <f>B69+durée1</f>
        <v>0.5555555555555556</v>
      </c>
      <c r="C70" s="181">
        <v>255</v>
      </c>
      <c r="D70" s="187">
        <f>'Groupe B'!Y33</f>
      </c>
      <c r="E70" s="187" t="s">
        <v>184</v>
      </c>
      <c r="F70" s="187"/>
      <c r="G70" s="187"/>
      <c r="H70" s="187"/>
      <c r="I70" s="187"/>
      <c r="J70" s="187" t="s">
        <v>185</v>
      </c>
      <c r="K70" s="187">
        <f>'Groupe B'!Y32</f>
      </c>
      <c r="L70" s="206"/>
      <c r="M70" s="209"/>
      <c r="N70" s="203"/>
      <c r="O70" s="203"/>
    </row>
    <row r="71" spans="1:15" ht="16.5" customHeight="1">
      <c r="A71" s="179" t="s">
        <v>115</v>
      </c>
      <c r="B71" s="180">
        <f t="shared" si="2"/>
        <v>0.5756944444444445</v>
      </c>
      <c r="C71" s="181">
        <v>256</v>
      </c>
      <c r="D71" s="184">
        <f>Féminines!C39</f>
      </c>
      <c r="E71" s="184" t="s">
        <v>186</v>
      </c>
      <c r="F71" s="195"/>
      <c r="G71" s="184"/>
      <c r="H71" s="184"/>
      <c r="I71" s="195"/>
      <c r="J71" s="184" t="s">
        <v>187</v>
      </c>
      <c r="K71" s="184">
        <f>Féminines!C38</f>
      </c>
      <c r="L71" s="206"/>
      <c r="M71" s="203"/>
      <c r="N71" s="203"/>
      <c r="O71" s="203"/>
    </row>
    <row r="72" spans="1:15" ht="16.5" customHeight="1">
      <c r="A72" s="179" t="s">
        <v>115</v>
      </c>
      <c r="B72" s="180">
        <f t="shared" si="2"/>
        <v>0.5958333333333334</v>
      </c>
      <c r="C72" s="181">
        <v>257</v>
      </c>
      <c r="D72" s="187">
        <f>'Groupe B'!C36</f>
      </c>
      <c r="E72" s="187" t="s">
        <v>188</v>
      </c>
      <c r="F72" s="187"/>
      <c r="G72" s="187"/>
      <c r="H72" s="187"/>
      <c r="I72" s="187"/>
      <c r="J72" s="187" t="s">
        <v>189</v>
      </c>
      <c r="K72" s="187">
        <f>'Groupe B'!C37</f>
      </c>
      <c r="L72" s="206"/>
      <c r="M72" s="203"/>
      <c r="N72" s="203"/>
      <c r="O72" s="203"/>
    </row>
    <row r="73" spans="1:15" ht="16.5" customHeight="1">
      <c r="A73" s="179" t="s">
        <v>115</v>
      </c>
      <c r="B73" s="180">
        <f t="shared" si="2"/>
        <v>0.6159722222222224</v>
      </c>
      <c r="C73" s="181">
        <v>258</v>
      </c>
      <c r="D73" s="184">
        <f>Féminines!H39</f>
      </c>
      <c r="E73" s="184" t="s">
        <v>190</v>
      </c>
      <c r="F73" s="195"/>
      <c r="G73" s="184"/>
      <c r="H73" s="184"/>
      <c r="I73" s="195"/>
      <c r="J73" s="184" t="s">
        <v>191</v>
      </c>
      <c r="K73" s="184">
        <f>Féminines!H38</f>
      </c>
      <c r="L73" s="206"/>
      <c r="M73" s="203"/>
      <c r="N73" s="203"/>
      <c r="O73" s="203"/>
    </row>
    <row r="74" spans="1:15" ht="16.5" customHeight="1">
      <c r="A74" s="179" t="s">
        <v>115</v>
      </c>
      <c r="B74" s="180">
        <f>B73+durée1</f>
        <v>0.6361111111111113</v>
      </c>
      <c r="C74" s="181">
        <v>259</v>
      </c>
      <c r="D74" s="187">
        <f>'Groupe B'!H36</f>
      </c>
      <c r="E74" s="187" t="s">
        <v>192</v>
      </c>
      <c r="F74" s="187"/>
      <c r="G74" s="187"/>
      <c r="H74" s="187"/>
      <c r="I74" s="187"/>
      <c r="J74" s="187" t="s">
        <v>193</v>
      </c>
      <c r="K74" s="187">
        <f>'Groupe B'!H37</f>
      </c>
      <c r="L74" s="206"/>
      <c r="M74" s="203"/>
      <c r="N74" s="203"/>
      <c r="O74" s="203"/>
    </row>
    <row r="75" spans="1:15" ht="16.5" customHeight="1">
      <c r="A75" s="179" t="s">
        <v>115</v>
      </c>
      <c r="B75" s="180">
        <f t="shared" si="2"/>
        <v>0.6562500000000002</v>
      </c>
      <c r="C75" s="181">
        <v>260</v>
      </c>
      <c r="D75" s="184">
        <f>'Groupe A'!P42</f>
      </c>
      <c r="E75" s="184" t="s">
        <v>194</v>
      </c>
      <c r="F75" s="195"/>
      <c r="G75" s="184"/>
      <c r="H75" s="184"/>
      <c r="I75" s="195"/>
      <c r="J75" s="184" t="s">
        <v>195</v>
      </c>
      <c r="K75" s="184">
        <f>'Groupe A'!P43</f>
      </c>
      <c r="L75" s="206"/>
      <c r="M75" s="203"/>
      <c r="N75" s="203"/>
      <c r="O75" s="203"/>
    </row>
    <row r="76" spans="1:15" ht="16.5" customHeight="1">
      <c r="A76" s="179" t="s">
        <v>115</v>
      </c>
      <c r="B76" s="180">
        <f t="shared" si="2"/>
        <v>0.6763888888888892</v>
      </c>
      <c r="C76" s="181">
        <v>261</v>
      </c>
      <c r="D76" s="184">
        <f>Féminines!P39</f>
      </c>
      <c r="E76" s="184" t="s">
        <v>196</v>
      </c>
      <c r="F76" s="195"/>
      <c r="G76" s="184"/>
      <c r="H76" s="184"/>
      <c r="I76" s="195"/>
      <c r="J76" s="184" t="s">
        <v>197</v>
      </c>
      <c r="K76" s="184">
        <f>Féminines!P38</f>
      </c>
      <c r="L76" s="206"/>
      <c r="M76" s="203"/>
      <c r="N76" s="203"/>
      <c r="O76" s="203"/>
    </row>
    <row r="77" spans="1:15" ht="16.5" customHeight="1">
      <c r="A77" s="179" t="s">
        <v>115</v>
      </c>
      <c r="B77" s="180">
        <f t="shared" si="2"/>
        <v>0.6965277777777781</v>
      </c>
      <c r="C77" s="188"/>
      <c r="D77" s="189"/>
      <c r="E77" s="189"/>
      <c r="F77" s="190"/>
      <c r="G77" s="189"/>
      <c r="H77" s="189"/>
      <c r="I77" s="190"/>
      <c r="J77" s="189"/>
      <c r="K77" s="189"/>
      <c r="L77" s="190"/>
      <c r="M77" s="219"/>
      <c r="N77" s="219"/>
      <c r="O77" s="219"/>
    </row>
    <row r="78" spans="2:15" ht="12.75">
      <c r="B78" s="218"/>
      <c r="M78" s="220"/>
      <c r="N78" s="220"/>
      <c r="O78" s="220"/>
    </row>
  </sheetData>
  <sheetProtection/>
  <mergeCells count="17">
    <mergeCell ref="N8:O8"/>
    <mergeCell ref="D17:K17"/>
    <mergeCell ref="D45:K45"/>
    <mergeCell ref="D68:K68"/>
    <mergeCell ref="A5:C5"/>
    <mergeCell ref="D5:O5"/>
    <mergeCell ref="D7:E7"/>
    <mergeCell ref="G7:H7"/>
    <mergeCell ref="J7:K7"/>
    <mergeCell ref="M7:O7"/>
    <mergeCell ref="I1:O1"/>
    <mergeCell ref="G2:H2"/>
    <mergeCell ref="I2:O2"/>
    <mergeCell ref="K3:O3"/>
    <mergeCell ref="B4:I4"/>
    <mergeCell ref="J4:L4"/>
    <mergeCell ref="M4:O4"/>
  </mergeCells>
  <printOptions/>
  <pageMargins left="0.7" right="0.7" top="0.75" bottom="0.75" header="0.3" footer="0.3"/>
  <pageSetup fitToHeight="0" fitToWidth="1" horizontalDpi="300" verticalDpi="300" orientation="landscape" paperSize="9" scale="81"/>
  <headerFooter alignWithMargins="0">
    <oddHeader>&amp;C&amp;"Arial,Gras italique"&amp;18Championnat de France 1° Division M et F 
&amp;R
</oddHeader>
    <oddFooter>&amp;L&amp;"Arial,Gras italique"&amp;14Terrain N°2</oddFooter>
  </headerFooter>
  <rowBreaks count="2" manualBreakCount="2">
    <brk id="33" max="14" man="1"/>
    <brk id="59" max="14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I44"/>
  <sheetViews>
    <sheetView zoomScale="80" zoomScaleNormal="80" workbookViewId="0" topLeftCell="A1">
      <selection activeCell="AB28" sqref="AB28"/>
    </sheetView>
  </sheetViews>
  <sheetFormatPr defaultColWidth="11.421875" defaultRowHeight="12.75"/>
  <cols>
    <col min="1" max="1" width="4.421875" style="44" customWidth="1"/>
    <col min="2" max="2" width="6.00390625" style="44" customWidth="1"/>
    <col min="3" max="3" width="25.7109375" style="44" customWidth="1"/>
    <col min="4" max="4" width="6.00390625" style="44" customWidth="1"/>
    <col min="5" max="5" width="5.28125" style="44" customWidth="1"/>
    <col min="6" max="7" width="5.28125" style="45" customWidth="1"/>
    <col min="8" max="31" width="5.28125" style="44" customWidth="1"/>
    <col min="32" max="33" width="5.7109375" style="44" customWidth="1"/>
    <col min="34" max="35" width="9.57421875" style="75" customWidth="1"/>
    <col min="36" max="16384" width="11.421875" style="44" customWidth="1"/>
  </cols>
  <sheetData>
    <row r="1" spans="6:35" s="41" customFormat="1" ht="79.5" customHeight="1">
      <c r="F1" s="46"/>
      <c r="G1" s="46"/>
      <c r="AH1" s="77"/>
      <c r="AI1" s="77"/>
    </row>
    <row r="2" spans="1:35" s="41" customFormat="1" ht="25.5" customHeight="1">
      <c r="A2" s="47" t="s">
        <v>70</v>
      </c>
      <c r="B2" s="47"/>
      <c r="C2" s="301" t="str">
        <f>saison</f>
        <v>2023-2024</v>
      </c>
      <c r="D2" s="302"/>
      <c r="E2" s="302"/>
      <c r="F2" s="302"/>
      <c r="G2" s="302"/>
      <c r="H2" s="303"/>
      <c r="I2" s="50"/>
      <c r="J2" s="304" t="s">
        <v>71</v>
      </c>
      <c r="K2" s="304"/>
      <c r="L2" s="125"/>
      <c r="M2" s="305" t="str">
        <f>lieu</f>
        <v>Montluçon</v>
      </c>
      <c r="N2" s="305"/>
      <c r="O2" s="305"/>
      <c r="P2" s="305"/>
      <c r="Q2" s="305"/>
      <c r="R2" s="305"/>
      <c r="S2" s="305"/>
      <c r="T2" s="305"/>
      <c r="U2" s="305"/>
      <c r="V2" s="305"/>
      <c r="AH2" s="77"/>
      <c r="AI2" s="77"/>
    </row>
    <row r="3" spans="1:35" s="41" customFormat="1" ht="21" customHeight="1">
      <c r="A3" s="47" t="s">
        <v>73</v>
      </c>
      <c r="C3" s="301" t="str">
        <f>date</f>
        <v>18-19 et 20 mai 2024</v>
      </c>
      <c r="D3" s="302"/>
      <c r="E3" s="302"/>
      <c r="F3" s="302"/>
      <c r="G3" s="302"/>
      <c r="H3" s="303"/>
      <c r="I3" s="50"/>
      <c r="J3" s="47" t="s">
        <v>74</v>
      </c>
      <c r="K3" s="126"/>
      <c r="L3" s="125"/>
      <c r="M3" s="301" t="str">
        <f>catégorie</f>
        <v>Division 1 Manche 3</v>
      </c>
      <c r="N3" s="302"/>
      <c r="O3" s="302"/>
      <c r="P3" s="302"/>
      <c r="Q3" s="302"/>
      <c r="R3" s="302"/>
      <c r="S3" s="302"/>
      <c r="T3" s="302"/>
      <c r="U3" s="302"/>
      <c r="V3" s="303"/>
      <c r="AH3" s="77"/>
      <c r="AI3" s="77"/>
    </row>
    <row r="4" spans="2:35" s="41" customFormat="1" ht="18" customHeight="1">
      <c r="B4" s="306" t="s">
        <v>75</v>
      </c>
      <c r="C4" s="306"/>
      <c r="D4" s="306"/>
      <c r="E4" s="73" t="str">
        <f>duréematch</f>
        <v>2*11' +2' de mi-temps +1' temps mort par  équipe +3' inter-match = 29'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AH4" s="77"/>
      <c r="AI4" s="77"/>
    </row>
    <row r="5" spans="2:35" s="41" customFormat="1" ht="9.75" customHeight="1">
      <c r="B5" s="72"/>
      <c r="C5" s="72"/>
      <c r="D5" s="7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AH5" s="77"/>
      <c r="AI5" s="77"/>
    </row>
    <row r="6" spans="2:15" ht="15.75">
      <c r="B6" s="75"/>
      <c r="D6" s="75"/>
      <c r="E6" s="76"/>
      <c r="H6" s="75"/>
      <c r="I6" s="75"/>
      <c r="J6" s="75"/>
      <c r="K6" s="75"/>
      <c r="L6" s="75"/>
      <c r="M6" s="75"/>
      <c r="N6" s="75"/>
      <c r="O6" s="75"/>
    </row>
    <row r="7" spans="2:35" s="41" customFormat="1" ht="30" customHeight="1">
      <c r="B7" s="77"/>
      <c r="C7" s="47"/>
      <c r="D7" s="78">
        <v>101</v>
      </c>
      <c r="E7" s="78">
        <v>102</v>
      </c>
      <c r="F7" s="78">
        <v>103</v>
      </c>
      <c r="G7" s="78">
        <v>104</v>
      </c>
      <c r="H7" s="78">
        <v>107</v>
      </c>
      <c r="I7" s="78">
        <v>108</v>
      </c>
      <c r="J7" s="78">
        <v>109</v>
      </c>
      <c r="K7" s="78">
        <v>110</v>
      </c>
      <c r="L7" s="78">
        <v>113</v>
      </c>
      <c r="M7" s="78">
        <v>114</v>
      </c>
      <c r="N7" s="78">
        <v>115</v>
      </c>
      <c r="O7" s="78">
        <v>116</v>
      </c>
      <c r="P7" s="78">
        <v>123</v>
      </c>
      <c r="Q7" s="78">
        <v>124</v>
      </c>
      <c r="R7" s="78">
        <v>125</v>
      </c>
      <c r="S7" s="78">
        <v>126</v>
      </c>
      <c r="T7" s="78">
        <v>129</v>
      </c>
      <c r="U7" s="78">
        <v>130</v>
      </c>
      <c r="V7" s="78">
        <v>131</v>
      </c>
      <c r="W7" s="78">
        <v>132</v>
      </c>
      <c r="X7" s="78">
        <v>135</v>
      </c>
      <c r="Y7" s="78">
        <v>136</v>
      </c>
      <c r="Z7" s="78">
        <v>137</v>
      </c>
      <c r="AA7" s="78">
        <v>138</v>
      </c>
      <c r="AB7" s="78">
        <v>141</v>
      </c>
      <c r="AC7" s="78">
        <v>142</v>
      </c>
      <c r="AD7" s="78">
        <v>143</v>
      </c>
      <c r="AE7" s="78">
        <v>144</v>
      </c>
      <c r="AF7" s="95" t="s">
        <v>198</v>
      </c>
      <c r="AG7" s="95" t="s">
        <v>199</v>
      </c>
      <c r="AH7" s="134" t="s">
        <v>200</v>
      </c>
      <c r="AI7" s="134" t="s">
        <v>201</v>
      </c>
    </row>
    <row r="8" spans="2:35" ht="15.75">
      <c r="B8" s="79" t="s">
        <v>93</v>
      </c>
      <c r="C8" s="80" t="str">
        <f>EQ1A</f>
        <v>FONTENAY-TRESIGNY</v>
      </c>
      <c r="D8" s="81">
        <f>IF(Terrain_1!G9&lt;&gt;"",Terrain_1!G9,"")</f>
      </c>
      <c r="E8" s="82"/>
      <c r="F8" s="82"/>
      <c r="G8" s="82"/>
      <c r="H8" s="82"/>
      <c r="I8" s="82"/>
      <c r="J8" s="81">
        <f>IF(Terrain_1!G18&lt;&gt;"",Terrain_1!G18,"")</f>
      </c>
      <c r="K8" s="82"/>
      <c r="L8" s="81">
        <f>IF(Terrain_1!H22&lt;&gt;"",Terrain_1!H22,"")</f>
      </c>
      <c r="M8" s="82"/>
      <c r="N8" s="82"/>
      <c r="O8" s="82"/>
      <c r="P8" s="81">
        <f>IF(Terrain_1!G34&lt;&gt;"",Terrain_1!G34,"")</f>
      </c>
      <c r="Q8" s="82"/>
      <c r="R8" s="82"/>
      <c r="S8" s="82"/>
      <c r="T8" s="81">
        <f>IF(Terrain_1!H40&lt;&gt;"",Terrain_1!H40,"")</f>
      </c>
      <c r="U8" s="82"/>
      <c r="V8" s="82"/>
      <c r="W8" s="82"/>
      <c r="X8" s="82"/>
      <c r="Y8" s="81">
        <f>IF(Terrain_1!H48&lt;&gt;"",Terrain_1!H48,"")</f>
      </c>
      <c r="Z8" s="82"/>
      <c r="AA8" s="82"/>
      <c r="AB8" s="81">
        <f>IF(Terrain_1!G53&lt;&gt;"",Terrain_1!G53,"")</f>
      </c>
      <c r="AC8" s="82"/>
      <c r="AD8" s="82"/>
      <c r="AE8" s="82"/>
      <c r="AF8" s="81">
        <f>CalculPointMatchs(D8,D9,J8,J10,L8,L11,P8,P12,T8,T13,Y8,Y14,AB8,AB15)</f>
      </c>
      <c r="AG8" s="135">
        <f aca="true" t="shared" si="0" ref="AG8:AG15">IF(AE$10="","",RANK(AF8,$AF$8:$AF$15))</f>
      </c>
      <c r="AH8" s="135">
        <f>SUM(D9,J10,L11,P12,T13,Y14,AB15)</f>
        <v>0</v>
      </c>
      <c r="AI8" s="136">
        <f aca="true" t="shared" si="1" ref="AI8:AI15">SUM(D8:AE8)</f>
        <v>0</v>
      </c>
    </row>
    <row r="9" spans="2:35" ht="15.75">
      <c r="B9" s="83" t="s">
        <v>94</v>
      </c>
      <c r="C9" s="84" t="str">
        <f>EQ1B</f>
        <v>DINAN</v>
      </c>
      <c r="D9" s="85">
        <f>IF(Terrain_1!H9&lt;&gt;"",Terrain_1!H9,"")</f>
      </c>
      <c r="E9" s="86"/>
      <c r="F9" s="86"/>
      <c r="G9" s="86"/>
      <c r="H9" s="85">
        <f>IF(Terrain_1!G15&lt;&gt;"",Terrain_1!G15,"")</f>
      </c>
      <c r="I9" s="86"/>
      <c r="J9" s="86"/>
      <c r="K9" s="86"/>
      <c r="L9" s="86"/>
      <c r="M9" s="85">
        <f>IF(Terrain_1!G23&lt;&gt;"",Terrain_1!G23,"")</f>
      </c>
      <c r="N9" s="86"/>
      <c r="O9" s="86"/>
      <c r="P9" s="86"/>
      <c r="Q9" s="85">
        <f>IF(Terrain_1!G35&lt;&gt;"",Terrain_1!G35,"")</f>
      </c>
      <c r="R9" s="86"/>
      <c r="S9" s="86"/>
      <c r="T9" s="86"/>
      <c r="U9" s="85">
        <f>IF(Terrain_1!H41&lt;&gt;"",Terrain_1!H41,"")</f>
      </c>
      <c r="V9" s="86"/>
      <c r="W9" s="86"/>
      <c r="X9" s="86"/>
      <c r="Y9" s="86"/>
      <c r="Z9" s="85">
        <f>IF(Terrain_1!G49&lt;&gt;"",Terrain_1!G49,"")</f>
      </c>
      <c r="AA9" s="86"/>
      <c r="AB9" s="86"/>
      <c r="AC9" s="85">
        <f>IF(Terrain_1!H54&lt;&gt;"",Terrain_1!H54,"")</f>
      </c>
      <c r="AD9" s="86"/>
      <c r="AE9" s="86"/>
      <c r="AF9" s="85">
        <f>CalculPointMatchs(D9,D8,H9,H11,M9,M12,Q9,Q13,U9,U10,Z9,Z15,AC9,AC14)</f>
      </c>
      <c r="AG9" s="137">
        <f t="shared" si="0"/>
      </c>
      <c r="AH9" s="137">
        <f>SUM(D8,H11,M12,Q13,U10,Z15,AC14)</f>
        <v>0</v>
      </c>
      <c r="AI9" s="138">
        <f t="shared" si="1"/>
        <v>0</v>
      </c>
    </row>
    <row r="10" spans="2:35" ht="15.75">
      <c r="B10" s="83" t="s">
        <v>95</v>
      </c>
      <c r="C10" s="84" t="str">
        <f>EQ1C</f>
        <v>RENNES</v>
      </c>
      <c r="D10" s="87"/>
      <c r="E10" s="85">
        <f>IF(Terrain_1!G10&lt;&gt;"",Terrain_1!G10,"")</f>
      </c>
      <c r="F10" s="86"/>
      <c r="G10" s="86"/>
      <c r="H10" s="86"/>
      <c r="I10" s="86"/>
      <c r="J10" s="85">
        <f>IF(Terrain_1!H18&lt;&gt;"",Terrain_1!H18,"")</f>
      </c>
      <c r="K10" s="86"/>
      <c r="L10" s="86"/>
      <c r="M10" s="86"/>
      <c r="N10" s="86"/>
      <c r="O10" s="85">
        <f>IF(Terrain_1!H25&lt;&gt;"",Terrain_1!H25,"")</f>
      </c>
      <c r="P10" s="86"/>
      <c r="Q10" s="86"/>
      <c r="R10" s="85">
        <f>IF(Terrain_1!H36&lt;&gt;"",Terrain_1!H36,"")</f>
      </c>
      <c r="S10" s="86"/>
      <c r="T10" s="86"/>
      <c r="U10" s="85">
        <f>IF(Terrain_1!G41&lt;&gt;"",Terrain_1!G41,"")</f>
      </c>
      <c r="V10" s="86"/>
      <c r="W10" s="86"/>
      <c r="X10" s="85">
        <f>IF(Terrain_1!G47&lt;&gt;"",Terrain_1!G47,"")</f>
      </c>
      <c r="Y10" s="86"/>
      <c r="Z10" s="86"/>
      <c r="AA10" s="86"/>
      <c r="AB10" s="86"/>
      <c r="AC10" s="86"/>
      <c r="AD10" s="86"/>
      <c r="AE10" s="85">
        <f>IF(Terrain_1!G56&lt;&gt;"",Terrain_1!G56,"")</f>
      </c>
      <c r="AF10" s="85">
        <f>CalculPointMatchs(E10,E11,J10,J8,O10,O15,R10,R14,U10,U9,X10,X13,AE10,AE12)</f>
      </c>
      <c r="AG10" s="137">
        <f t="shared" si="0"/>
      </c>
      <c r="AH10" s="137">
        <f>SUM(E11,J8,O15,R14,U9,X13,AE12)</f>
        <v>0</v>
      </c>
      <c r="AI10" s="138">
        <f t="shared" si="1"/>
        <v>0</v>
      </c>
    </row>
    <row r="11" spans="2:35" ht="15.75">
      <c r="B11" s="83" t="s">
        <v>96</v>
      </c>
      <c r="C11" s="84" t="str">
        <f>EQ1D</f>
        <v>MOIRANS</v>
      </c>
      <c r="D11" s="87"/>
      <c r="E11" s="85">
        <f>IF(Terrain_1!H10&lt;&gt;"",Terrain_1!H10,"")</f>
      </c>
      <c r="F11" s="86"/>
      <c r="G11" s="86"/>
      <c r="H11" s="85">
        <f>IF(Terrain_1!H15&lt;&gt;"",Terrain_1!H15,"")</f>
      </c>
      <c r="I11" s="86"/>
      <c r="J11" s="86"/>
      <c r="K11" s="86"/>
      <c r="L11" s="85">
        <f>IF(Terrain_1!G22&lt;&gt;"",Terrain_1!G22,"")</f>
      </c>
      <c r="M11" s="86"/>
      <c r="N11" s="86"/>
      <c r="O11" s="86"/>
      <c r="P11" s="86"/>
      <c r="Q11" s="86"/>
      <c r="R11" s="86"/>
      <c r="S11" s="85">
        <f>IF(Terrain_1!H37&lt;&gt;"",Terrain_1!H37,"")</f>
      </c>
      <c r="T11" s="86"/>
      <c r="U11" s="86"/>
      <c r="V11" s="85">
        <f>IF(Terrain_1!G42&lt;&gt;"",Terrain_1!G42,"")</f>
      </c>
      <c r="W11" s="86"/>
      <c r="X11" s="86"/>
      <c r="Y11" s="86"/>
      <c r="Z11" s="86"/>
      <c r="AA11" s="85">
        <f>IF(Terrain_1!H50&lt;&gt;"",Terrain_1!H50,"")</f>
      </c>
      <c r="AB11" s="86"/>
      <c r="AC11" s="86"/>
      <c r="AD11" s="85">
        <f>IF(Terrain_1!G55&lt;&gt;"",Terrain_1!G55,"")</f>
      </c>
      <c r="AE11" s="86"/>
      <c r="AF11" s="85">
        <f>CalculPointMatchs(E11,E10,H11,H9,L11,L8,S11,S15,V11,V14,AA11,AA12,AD11,AD13)</f>
      </c>
      <c r="AG11" s="137">
        <f t="shared" si="0"/>
      </c>
      <c r="AH11" s="137">
        <f>SUM(E10,H9,L8,S15,V14,AA12,AD13)</f>
        <v>0</v>
      </c>
      <c r="AI11" s="138">
        <f t="shared" si="1"/>
        <v>0</v>
      </c>
    </row>
    <row r="12" spans="2:35" ht="15.75">
      <c r="B12" s="83" t="s">
        <v>97</v>
      </c>
      <c r="C12" s="84" t="str">
        <f>EQ1E</f>
        <v>PONTOISE</v>
      </c>
      <c r="D12" s="87"/>
      <c r="E12" s="86"/>
      <c r="F12" s="85">
        <f>IF(Terrain_1!G11&lt;&gt;"",Terrain_1!G11,"")</f>
      </c>
      <c r="G12" s="86"/>
      <c r="H12" s="86"/>
      <c r="I12" s="85">
        <f>IF(Terrain_1!G16&lt;&gt;"",Terrain_1!G16,"")</f>
      </c>
      <c r="J12" s="86"/>
      <c r="K12" s="86"/>
      <c r="L12" s="86"/>
      <c r="M12" s="85">
        <f>IF(Terrain_1!H23&lt;&gt;"",Terrain_1!H23,"")</f>
      </c>
      <c r="N12" s="86"/>
      <c r="O12" s="86"/>
      <c r="P12" s="85">
        <f>IF(Terrain_1!H34&lt;&gt;"",Terrain_1!H34,"")</f>
      </c>
      <c r="Q12" s="86"/>
      <c r="R12" s="86"/>
      <c r="S12" s="86"/>
      <c r="T12" s="86"/>
      <c r="U12" s="86"/>
      <c r="V12" s="86"/>
      <c r="W12" s="85">
        <f>IF(Terrain_1!H43&lt;&gt;"",Terrain_1!H43,"")</f>
      </c>
      <c r="X12" s="86"/>
      <c r="Y12" s="86"/>
      <c r="Z12" s="86"/>
      <c r="AA12" s="85">
        <f>IF(Terrain_1!G50&lt;&gt;"",Terrain_1!G50,"")</f>
      </c>
      <c r="AB12" s="86"/>
      <c r="AC12" s="86"/>
      <c r="AD12" s="86"/>
      <c r="AE12" s="85">
        <f>IF(Terrain_1!H56&lt;&gt;"",Terrain_1!H56,"")</f>
      </c>
      <c r="AF12" s="85">
        <f>CalculPointMatchs(F12,F13,I12,I14,M12,M9,P12,P8,W12,W15,AA12,AA11,AE12,AE10)</f>
      </c>
      <c r="AG12" s="137">
        <f t="shared" si="0"/>
      </c>
      <c r="AH12" s="137">
        <f>SUM(F13,I14,M9,P8,W15,AA11,AE10)</f>
        <v>0</v>
      </c>
      <c r="AI12" s="138">
        <f t="shared" si="1"/>
        <v>0</v>
      </c>
    </row>
    <row r="13" spans="2:35" ht="15.75">
      <c r="B13" s="83" t="s">
        <v>98</v>
      </c>
      <c r="C13" s="84" t="str">
        <f>EQ1F</f>
        <v>DIDEROT XII</v>
      </c>
      <c r="D13" s="87"/>
      <c r="E13" s="86"/>
      <c r="F13" s="85">
        <f>IF(Terrain_1!H11&lt;&gt;"",Terrain_1!H11,"")</f>
      </c>
      <c r="G13" s="86"/>
      <c r="H13" s="86"/>
      <c r="I13" s="86"/>
      <c r="J13" s="86"/>
      <c r="K13" s="85">
        <f>IF(Terrain_1!G19&lt;&gt;"",Terrain_1!G19,"")</f>
      </c>
      <c r="L13" s="86"/>
      <c r="M13" s="86"/>
      <c r="N13" s="85">
        <f>IF(Terrain_1!G24&lt;&gt;"",Terrain_1!G24,"")</f>
      </c>
      <c r="O13" s="86"/>
      <c r="P13" s="86"/>
      <c r="Q13" s="85">
        <f>IF(Terrain_1!H35&lt;&gt;"",Terrain_1!H35,"")</f>
      </c>
      <c r="R13" s="86"/>
      <c r="S13" s="86"/>
      <c r="T13" s="85">
        <f>IF(Terrain_1!G40&lt;&gt;"",Terrain_1!G40,"")</f>
      </c>
      <c r="U13" s="86"/>
      <c r="V13" s="86"/>
      <c r="W13" s="86"/>
      <c r="X13" s="85">
        <f>IF(Terrain_1!H47&lt;&gt;"",Terrain_1!H47,"")</f>
      </c>
      <c r="Y13" s="86"/>
      <c r="Z13" s="86"/>
      <c r="AA13" s="86"/>
      <c r="AB13" s="86"/>
      <c r="AC13" s="86"/>
      <c r="AD13" s="85">
        <f>IF(Terrain_1!H55&lt;&gt;"",Terrain_1!H55,"")</f>
      </c>
      <c r="AE13" s="86"/>
      <c r="AF13" s="85">
        <f>CalculPointMatchs(F13,F12,K13,K15,N13,N14,Q13,Q9,T13,T8,X13,X10,AD13,AD11)</f>
      </c>
      <c r="AG13" s="137">
        <f t="shared" si="0"/>
      </c>
      <c r="AH13" s="137">
        <f>SUM(F12,K15,N14,Q9,T8,X10,AD11)</f>
        <v>0</v>
      </c>
      <c r="AI13" s="138">
        <f t="shared" si="1"/>
        <v>0</v>
      </c>
    </row>
    <row r="14" spans="2:35" ht="15.75">
      <c r="B14" s="83" t="s">
        <v>99</v>
      </c>
      <c r="C14" s="84" t="str">
        <f>EQ1G</f>
        <v>CLAMART</v>
      </c>
      <c r="D14" s="87"/>
      <c r="E14" s="86"/>
      <c r="F14" s="86"/>
      <c r="G14" s="85">
        <f>IF(Terrain_1!G12&lt;&gt;"",Terrain_1!G12,"")</f>
      </c>
      <c r="H14" s="86"/>
      <c r="I14" s="85">
        <f>IF(Terrain_1!H16&lt;&gt;"",Terrain_1!H16,"")</f>
      </c>
      <c r="J14" s="86"/>
      <c r="K14" s="86"/>
      <c r="L14" s="86"/>
      <c r="M14" s="86"/>
      <c r="N14" s="85">
        <f>IF(Terrain_1!H24&lt;&gt;"",Terrain_1!H24,"")</f>
      </c>
      <c r="O14" s="86"/>
      <c r="P14" s="86"/>
      <c r="Q14" s="86"/>
      <c r="R14" s="85">
        <f>IF(Terrain_1!G36&lt;&gt;"",Terrain_1!G36,"")</f>
      </c>
      <c r="S14" s="86"/>
      <c r="T14" s="86"/>
      <c r="U14" s="86"/>
      <c r="V14" s="85">
        <f>IF(Terrain_1!H42&lt;&gt;"",Terrain_1!H42,"")</f>
      </c>
      <c r="W14" s="86"/>
      <c r="X14" s="86"/>
      <c r="Y14" s="85">
        <f>IF(Terrain_1!G48&lt;&gt;"",Terrain_1!G48,"")</f>
      </c>
      <c r="Z14" s="86"/>
      <c r="AA14" s="86"/>
      <c r="AB14" s="86"/>
      <c r="AC14" s="85">
        <f>IF(Terrain_1!G54&lt;&gt;"",Terrain_1!G54,"")</f>
      </c>
      <c r="AD14" s="86"/>
      <c r="AE14" s="86"/>
      <c r="AF14" s="85">
        <f>CalculPointMatchs(G14,G15,I14,I12,N14,N13,R14,R10,V14,V11,Y14,Y8,AC14,AC9)</f>
      </c>
      <c r="AG14" s="137">
        <f t="shared" si="0"/>
      </c>
      <c r="AH14" s="137">
        <f>SUM(G15,I12,N13,R10,V11,Y8,AC9)</f>
        <v>0</v>
      </c>
      <c r="AI14" s="138">
        <f t="shared" si="1"/>
        <v>0</v>
      </c>
    </row>
    <row r="15" spans="2:35" ht="15.75">
      <c r="B15" s="88" t="s">
        <v>100</v>
      </c>
      <c r="C15" s="89" t="str">
        <f>EQ1H</f>
        <v>SAINTES</v>
      </c>
      <c r="D15" s="90"/>
      <c r="E15" s="91"/>
      <c r="F15" s="91"/>
      <c r="G15" s="92">
        <f>IF(Terrain_1!H12&lt;&gt;"",Terrain_1!H12,"")</f>
      </c>
      <c r="H15" s="91"/>
      <c r="I15" s="91"/>
      <c r="J15" s="91"/>
      <c r="K15" s="92">
        <f>IF(Terrain_1!H19&lt;&gt;"",Terrain_1!H19,"")</f>
      </c>
      <c r="L15" s="91"/>
      <c r="M15" s="91"/>
      <c r="N15" s="91"/>
      <c r="O15" s="92">
        <f>IF(Terrain_1!G25&lt;&gt;"",Terrain_1!G25,"")</f>
      </c>
      <c r="P15" s="91"/>
      <c r="Q15" s="91"/>
      <c r="R15" s="91"/>
      <c r="S15" s="92">
        <f>IF(Terrain_1!G37&lt;&gt;"",Terrain_1!G37,"")</f>
      </c>
      <c r="T15" s="91"/>
      <c r="U15" s="91"/>
      <c r="V15" s="91"/>
      <c r="W15" s="92">
        <f>IF(Terrain_1!G43&lt;&gt;"",Terrain_1!G43,"")</f>
      </c>
      <c r="X15" s="91"/>
      <c r="Y15" s="91"/>
      <c r="Z15" s="92">
        <f>IF(Terrain_1!H49&lt;&gt;"",Terrain_1!H49,"")</f>
      </c>
      <c r="AA15" s="91"/>
      <c r="AB15" s="92">
        <f>IF(Terrain_1!H53&lt;&gt;"",Terrain_1!H53,"")</f>
      </c>
      <c r="AC15" s="91"/>
      <c r="AD15" s="91"/>
      <c r="AE15" s="91"/>
      <c r="AF15" s="92">
        <f>CalculPointMatchs(G15,G14,K15,K13,O15,O10,S15,S11,W15,W12,Z15,Z9,AB15,AB8)</f>
      </c>
      <c r="AG15" s="139">
        <f t="shared" si="0"/>
      </c>
      <c r="AH15" s="139">
        <f>SUM(G14,K13,O10,S11,W12,Z9,AB8)</f>
        <v>0</v>
      </c>
      <c r="AI15" s="140">
        <f t="shared" si="1"/>
        <v>0</v>
      </c>
    </row>
    <row r="16" ht="17.25" customHeight="1">
      <c r="E16" s="93"/>
    </row>
    <row r="17" spans="4:9" ht="17.25" customHeight="1">
      <c r="D17" s="307" t="s">
        <v>202</v>
      </c>
      <c r="E17" s="307"/>
      <c r="F17" s="307" t="s">
        <v>203</v>
      </c>
      <c r="G17" s="307"/>
      <c r="H17" s="77" t="s">
        <v>198</v>
      </c>
      <c r="I17" s="77" t="s">
        <v>199</v>
      </c>
    </row>
    <row r="18" spans="3:9" ht="17.25" customHeight="1">
      <c r="C18" s="96" t="str">
        <f>EQ1A</f>
        <v>FONTENAY-TRESIGNY</v>
      </c>
      <c r="D18" s="308">
        <v>16</v>
      </c>
      <c r="E18" s="308"/>
      <c r="F18" s="308">
        <f>_xlfn.IFERROR(17-1.01*INDEX(AG8:AG15,MATCH(C18,C8:C15,0)),"")</f>
      </c>
      <c r="G18" s="308"/>
      <c r="H18" s="81">
        <f>IF(F18="","",SUM(D18:G18))</f>
      </c>
      <c r="I18" s="128">
        <f aca="true" t="shared" si="2" ref="I18:I25">IF(F18="","",RANK(H18,$H$18:$H$25))</f>
      </c>
    </row>
    <row r="19" spans="3:9" ht="17.25" customHeight="1">
      <c r="C19" s="98" t="str">
        <f>EQ1B</f>
        <v>DINAN</v>
      </c>
      <c r="D19" s="309">
        <v>15</v>
      </c>
      <c r="E19" s="309"/>
      <c r="F19" s="309">
        <f>_xlfn.IFERROR(17-1.01*INDEX(AG8:AG15,MATCH(C19,C8:C15,0)),"")</f>
      </c>
      <c r="G19" s="309"/>
      <c r="H19" s="85">
        <f aca="true" t="shared" si="3" ref="H19:H25">IF(F19="","",SUM(D19:G19))</f>
      </c>
      <c r="I19" s="129">
        <f t="shared" si="2"/>
      </c>
    </row>
    <row r="20" spans="3:9" ht="17.25" customHeight="1">
      <c r="C20" s="98" t="str">
        <f>EQ1C</f>
        <v>RENNES</v>
      </c>
      <c r="D20" s="309">
        <v>14</v>
      </c>
      <c r="E20" s="309"/>
      <c r="F20" s="309">
        <f>_xlfn.IFERROR(17-1.01*INDEX(AG8:AG15,MATCH(C20,C8:C15,0)),"")</f>
      </c>
      <c r="G20" s="309"/>
      <c r="H20" s="85">
        <f t="shared" si="3"/>
      </c>
      <c r="I20" s="129">
        <f t="shared" si="2"/>
      </c>
    </row>
    <row r="21" spans="3:9" ht="17.25" customHeight="1">
      <c r="C21" s="98" t="str">
        <f>EQ1D</f>
        <v>MOIRANS</v>
      </c>
      <c r="D21" s="309">
        <v>13</v>
      </c>
      <c r="E21" s="309"/>
      <c r="F21" s="309">
        <f>_xlfn.IFERROR(17-1.01*INDEX(AG8:AG15,MATCH(C21,C8:C15,0)),"")</f>
      </c>
      <c r="G21" s="309"/>
      <c r="H21" s="85">
        <f t="shared" si="3"/>
      </c>
      <c r="I21" s="129">
        <f t="shared" si="2"/>
      </c>
    </row>
    <row r="22" spans="3:9" ht="17.25" customHeight="1">
      <c r="C22" s="98" t="str">
        <f>EQ1E</f>
        <v>PONTOISE</v>
      </c>
      <c r="D22" s="309">
        <v>12</v>
      </c>
      <c r="E22" s="309"/>
      <c r="F22" s="309">
        <f>_xlfn.IFERROR(17-1.01*INDEX(AG8:AG15,MATCH(C22,C8:C15,0)),"")</f>
      </c>
      <c r="G22" s="309"/>
      <c r="H22" s="85">
        <f t="shared" si="3"/>
      </c>
      <c r="I22" s="129">
        <f t="shared" si="2"/>
      </c>
    </row>
    <row r="23" spans="3:9" ht="15.75">
      <c r="C23" s="98" t="str">
        <f>EQ1F</f>
        <v>DIDEROT XII</v>
      </c>
      <c r="D23" s="309">
        <v>11</v>
      </c>
      <c r="E23" s="309"/>
      <c r="F23" s="309">
        <f>_xlfn.IFERROR(17-1.01*INDEX(AG8:AG15,MATCH(C23,C8:C15,0)),"")</f>
      </c>
      <c r="G23" s="309"/>
      <c r="H23" s="85">
        <f t="shared" si="3"/>
      </c>
      <c r="I23" s="129">
        <f t="shared" si="2"/>
      </c>
    </row>
    <row r="24" spans="3:9" ht="15.75">
      <c r="C24" s="98" t="str">
        <f>EQ1G</f>
        <v>CLAMART</v>
      </c>
      <c r="D24" s="309">
        <v>10</v>
      </c>
      <c r="E24" s="309"/>
      <c r="F24" s="309">
        <f>_xlfn.IFERROR(17-1.01*INDEX(AG8:AG15,MATCH(C24,C8:C15,0)),"")</f>
      </c>
      <c r="G24" s="309"/>
      <c r="H24" s="85">
        <f t="shared" si="3"/>
      </c>
      <c r="I24" s="129">
        <f t="shared" si="2"/>
      </c>
    </row>
    <row r="25" spans="3:9" ht="15.75">
      <c r="C25" s="100" t="str">
        <f>EQ1H</f>
        <v>SAINTES</v>
      </c>
      <c r="D25" s="310">
        <v>9</v>
      </c>
      <c r="E25" s="310"/>
      <c r="F25" s="310">
        <f>_xlfn.IFERROR(17-1.01*INDEX(AG8:AG15,MATCH(C25,C8:C15,0)),"")</f>
      </c>
      <c r="G25" s="310"/>
      <c r="H25" s="92">
        <f t="shared" si="3"/>
      </c>
      <c r="I25" s="130">
        <f t="shared" si="2"/>
      </c>
    </row>
    <row r="26" ht="15.75">
      <c r="E26" s="93"/>
    </row>
    <row r="27" spans="2:13" ht="15.75" customHeight="1">
      <c r="B27" s="311" t="s">
        <v>204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3"/>
    </row>
    <row r="28" spans="3:35" s="102" customFormat="1" ht="18">
      <c r="C28" s="102" t="s">
        <v>205</v>
      </c>
      <c r="E28" s="132"/>
      <c r="H28" s="102" t="s">
        <v>206</v>
      </c>
      <c r="AH28" s="156"/>
      <c r="AI28" s="156"/>
    </row>
    <row r="29" spans="1:35" s="102" customFormat="1" ht="18">
      <c r="A29" s="314" t="s">
        <v>207</v>
      </c>
      <c r="B29" s="315"/>
      <c r="C29" s="104">
        <f>_xlfn.IFERROR(INDEX(C18:C25,MATCH(7,I18:I25,0)),"")</f>
      </c>
      <c r="D29" s="105">
        <f>IF(Terrain_1!G57="","",Terrain_1!G57)</f>
      </c>
      <c r="E29" s="132"/>
      <c r="F29" s="314" t="s">
        <v>208</v>
      </c>
      <c r="G29" s="315"/>
      <c r="H29" s="316">
        <f>_xlfn.IFERROR(INDEX(C18:C25,MATCH(8,I18:I25,0)),"")</f>
      </c>
      <c r="I29" s="316"/>
      <c r="J29" s="316"/>
      <c r="K29" s="316"/>
      <c r="L29" s="316"/>
      <c r="M29" s="105">
        <f>IF(Terrain_2!G57="","",Terrain_2!G57)</f>
      </c>
      <c r="AH29" s="156"/>
      <c r="AI29" s="156"/>
    </row>
    <row r="30" spans="1:35" s="102" customFormat="1" ht="18">
      <c r="A30" s="317" t="s">
        <v>209</v>
      </c>
      <c r="B30" s="318"/>
      <c r="C30" s="109">
        <f>_xlfn.IFERROR(INDEX('Groupe B'!C18:C25,MATCH(2,'Groupe B'!I18:I25,0)),"")</f>
      </c>
      <c r="D30" s="110">
        <f>IF(Terrain_1!H57="","",Terrain_1!H57)</f>
      </c>
      <c r="E30" s="132"/>
      <c r="F30" s="317" t="s">
        <v>210</v>
      </c>
      <c r="G30" s="318"/>
      <c r="H30" s="319">
        <f>_xlfn.IFERROR(INDEX('Groupe B'!C18:C25,MATCH(1,'Groupe B'!I18:I25,0)),"")</f>
      </c>
      <c r="I30" s="319"/>
      <c r="J30" s="319"/>
      <c r="K30" s="319"/>
      <c r="L30" s="319"/>
      <c r="M30" s="110">
        <f>IF(Terrain_2!H57="","",Terrain_2!H57)</f>
      </c>
      <c r="AH30" s="156"/>
      <c r="AI30" s="156"/>
    </row>
    <row r="31" spans="6:35" s="102" customFormat="1" ht="18">
      <c r="F31" s="132"/>
      <c r="G31" s="132"/>
      <c r="AH31" s="156"/>
      <c r="AI31" s="156"/>
    </row>
    <row r="32" spans="2:35" s="102" customFormat="1" ht="15.75" customHeight="1">
      <c r="B32" s="320" t="s">
        <v>211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2"/>
      <c r="AH32" s="156"/>
      <c r="AI32" s="156"/>
    </row>
    <row r="33" spans="3:35" s="102" customFormat="1" ht="18">
      <c r="C33" s="102" t="s">
        <v>212</v>
      </c>
      <c r="E33" s="132"/>
      <c r="H33" s="102" t="s">
        <v>213</v>
      </c>
      <c r="P33" s="102" t="s">
        <v>214</v>
      </c>
      <c r="U33" s="132"/>
      <c r="V33" s="156"/>
      <c r="Y33" s="102" t="s">
        <v>215</v>
      </c>
      <c r="AH33" s="156"/>
      <c r="AI33" s="156"/>
    </row>
    <row r="34" spans="2:35" s="102" customFormat="1" ht="18">
      <c r="B34" s="158" t="s">
        <v>116</v>
      </c>
      <c r="C34" s="104">
        <f>_xlfn.IFERROR(INDEX(C18:C25,MATCH(1,I18:I25,0)),"")</f>
      </c>
      <c r="D34" s="105">
        <f>IF(Terrain_1!$G60="","",Terrain_1!$G60)</f>
      </c>
      <c r="E34" s="132"/>
      <c r="F34" s="147"/>
      <c r="G34" s="158" t="s">
        <v>118</v>
      </c>
      <c r="H34" s="316">
        <f>_xlfn.IFERROR(INDEX(C18:C25,MATCH(4,I18:I25,0)),"")</f>
      </c>
      <c r="I34" s="316"/>
      <c r="J34" s="316"/>
      <c r="K34" s="316"/>
      <c r="L34" s="316"/>
      <c r="M34" s="105">
        <f>IF(Terrain_1!$G61="","",Terrain_1!$G61)</f>
      </c>
      <c r="O34" s="158" t="s">
        <v>120</v>
      </c>
      <c r="P34" s="316">
        <f>_xlfn.IFERROR(INDEX(C18:C25,MATCH(3,I18:I25,0)),"")</f>
      </c>
      <c r="Q34" s="316"/>
      <c r="R34" s="316"/>
      <c r="S34" s="316"/>
      <c r="T34" s="316"/>
      <c r="U34" s="105">
        <f>IF(Terrain_1!$G62="","",Terrain_1!$G62)</f>
      </c>
      <c r="V34" s="147"/>
      <c r="W34" s="132"/>
      <c r="X34" s="158" t="s">
        <v>122</v>
      </c>
      <c r="Y34" s="316">
        <f>_xlfn.IFERROR(INDEX(C18:C25,MATCH(2,I18:I25,0)),"")</f>
      </c>
      <c r="Z34" s="316"/>
      <c r="AA34" s="316"/>
      <c r="AB34" s="316"/>
      <c r="AC34" s="316"/>
      <c r="AD34" s="105">
        <f>IF(Terrain_1!$G63="","",Terrain_1!$G63)</f>
      </c>
      <c r="AH34" s="156"/>
      <c r="AI34" s="156"/>
    </row>
    <row r="35" spans="2:35" s="102" customFormat="1" ht="18">
      <c r="B35" s="159" t="s">
        <v>117</v>
      </c>
      <c r="C35" s="109">
        <f>Gagnant(H29:M30)</f>
      </c>
      <c r="D35" s="110">
        <f>IF(Terrain_1!$H60="","",Terrain_1!$H60)</f>
      </c>
      <c r="E35" s="132"/>
      <c r="F35" s="147"/>
      <c r="G35" s="159" t="s">
        <v>119</v>
      </c>
      <c r="H35" s="319">
        <f>_xlfn.IFERROR(INDEX(C18:C25,MATCH(5,I18:I25,0)),"")</f>
      </c>
      <c r="I35" s="319"/>
      <c r="J35" s="319"/>
      <c r="K35" s="319"/>
      <c r="L35" s="319"/>
      <c r="M35" s="110">
        <f>IF(Terrain_1!$H61="","",Terrain_1!$H61)</f>
      </c>
      <c r="O35" s="159" t="s">
        <v>121</v>
      </c>
      <c r="P35" s="319">
        <f>_xlfn.IFERROR(INDEX(C18:C25,MATCH(6,I18:I25,0)),"")</f>
      </c>
      <c r="Q35" s="319"/>
      <c r="R35" s="319"/>
      <c r="S35" s="319"/>
      <c r="T35" s="319"/>
      <c r="U35" s="110">
        <f>IF(Terrain_1!$H62="","",Terrain_1!$H62)</f>
      </c>
      <c r="V35" s="147"/>
      <c r="W35" s="132"/>
      <c r="X35" s="159" t="s">
        <v>123</v>
      </c>
      <c r="Y35" s="319">
        <f>Gagnant(C29:D30)</f>
      </c>
      <c r="Z35" s="319"/>
      <c r="AA35" s="319"/>
      <c r="AB35" s="319"/>
      <c r="AC35" s="319"/>
      <c r="AD35" s="110">
        <f>IF(Terrain_1!$H63="","",Terrain_1!$H63)</f>
      </c>
      <c r="AH35" s="156"/>
      <c r="AI35" s="156"/>
    </row>
    <row r="36" spans="1:35" s="102" customFormat="1" ht="18">
      <c r="A36" s="112"/>
      <c r="B36" s="111"/>
      <c r="C36" s="112"/>
      <c r="D36" s="112"/>
      <c r="E36" s="112"/>
      <c r="F36" s="133"/>
      <c r="G36" s="53"/>
      <c r="H36" s="112"/>
      <c r="I36" s="112"/>
      <c r="J36" s="112"/>
      <c r="K36" s="112"/>
      <c r="L36" s="112"/>
      <c r="M36" s="112"/>
      <c r="N36" s="152"/>
      <c r="O36" s="52"/>
      <c r="P36" s="112"/>
      <c r="Q36" s="112"/>
      <c r="R36" s="112"/>
      <c r="S36" s="112"/>
      <c r="T36" s="112"/>
      <c r="U36" s="112"/>
      <c r="V36" s="112"/>
      <c r="W36" s="112"/>
      <c r="X36" s="52"/>
      <c r="Y36" s="112"/>
      <c r="Z36" s="112"/>
      <c r="AA36" s="112"/>
      <c r="AB36" s="112"/>
      <c r="AC36" s="112"/>
      <c r="AD36" s="112"/>
      <c r="AH36" s="156"/>
      <c r="AI36" s="156"/>
    </row>
    <row r="37" spans="1:35" s="102" customFormat="1" ht="18">
      <c r="A37" s="112"/>
      <c r="B37" s="52"/>
      <c r="C37" s="112" t="s">
        <v>216</v>
      </c>
      <c r="D37" s="112"/>
      <c r="E37" s="133"/>
      <c r="F37" s="112"/>
      <c r="G37" s="52"/>
      <c r="H37" s="112" t="s">
        <v>217</v>
      </c>
      <c r="I37" s="112"/>
      <c r="J37" s="112"/>
      <c r="K37" s="112"/>
      <c r="L37" s="112"/>
      <c r="M37" s="112"/>
      <c r="N37" s="112"/>
      <c r="O37" s="52"/>
      <c r="P37" s="112" t="s">
        <v>218</v>
      </c>
      <c r="Q37" s="112"/>
      <c r="R37" s="112"/>
      <c r="S37" s="112"/>
      <c r="T37" s="112"/>
      <c r="U37" s="133"/>
      <c r="V37" s="157"/>
      <c r="W37" s="112"/>
      <c r="X37" s="52"/>
      <c r="Y37" s="112" t="s">
        <v>219</v>
      </c>
      <c r="Z37" s="112"/>
      <c r="AA37" s="112"/>
      <c r="AB37" s="112"/>
      <c r="AC37" s="112"/>
      <c r="AD37" s="112"/>
      <c r="AH37" s="156"/>
      <c r="AI37" s="156"/>
    </row>
    <row r="38" spans="1:35" s="102" customFormat="1" ht="18">
      <c r="A38" s="112"/>
      <c r="B38" s="160" t="s">
        <v>220</v>
      </c>
      <c r="C38" s="104">
        <f>Perdant(C34:D35)</f>
      </c>
      <c r="D38" s="105">
        <f>IF(Terrain_1!$G64="","",Terrain_1!$G64)</f>
      </c>
      <c r="E38" s="133"/>
      <c r="F38" s="152"/>
      <c r="G38" s="161" t="s">
        <v>221</v>
      </c>
      <c r="H38" s="323">
        <f>Perdant(P34:U35)</f>
      </c>
      <c r="I38" s="323"/>
      <c r="J38" s="323"/>
      <c r="K38" s="323"/>
      <c r="L38" s="323"/>
      <c r="M38" s="164">
        <f>IF(Terrain_1!$G65="","",Terrain_1!$G65)</f>
      </c>
      <c r="N38" s="112"/>
      <c r="O38" s="161" t="s">
        <v>222</v>
      </c>
      <c r="P38" s="323">
        <f>Gagnant(C34:D35)</f>
      </c>
      <c r="Q38" s="323"/>
      <c r="R38" s="323"/>
      <c r="S38" s="323"/>
      <c r="T38" s="323"/>
      <c r="U38" s="164">
        <f>IF(Terrain_1!$G66="","",Terrain_1!$G66)</f>
      </c>
      <c r="V38" s="152"/>
      <c r="W38" s="133"/>
      <c r="X38" s="160" t="s">
        <v>223</v>
      </c>
      <c r="Y38" s="316">
        <f>Gagnant(P34:U35)</f>
      </c>
      <c r="Z38" s="316"/>
      <c r="AA38" s="316"/>
      <c r="AB38" s="316"/>
      <c r="AC38" s="316"/>
      <c r="AD38" s="105">
        <f>IF(Terrain_1!$G67="","",Terrain_1!$G67)</f>
      </c>
      <c r="AH38" s="156"/>
      <c r="AI38" s="156"/>
    </row>
    <row r="39" spans="1:35" s="102" customFormat="1" ht="18">
      <c r="A39" s="112"/>
      <c r="B39" s="162" t="s">
        <v>224</v>
      </c>
      <c r="C39" s="109">
        <f>Perdant(H34:M35)</f>
      </c>
      <c r="D39" s="110">
        <f>IF(Terrain_1!$H64="","",Terrain_1!$H64)</f>
      </c>
      <c r="E39" s="133"/>
      <c r="F39" s="152"/>
      <c r="G39" s="163" t="s">
        <v>225</v>
      </c>
      <c r="H39" s="324">
        <f>Perdant(Y34:AD35)</f>
      </c>
      <c r="I39" s="324"/>
      <c r="J39" s="324"/>
      <c r="K39" s="324"/>
      <c r="L39" s="324"/>
      <c r="M39" s="165">
        <f>IF(Terrain_1!$H65="","",Terrain_1!$H65)</f>
      </c>
      <c r="N39" s="112"/>
      <c r="O39" s="163" t="s">
        <v>226</v>
      </c>
      <c r="P39" s="324">
        <f>Gagnant(H34:M35)</f>
      </c>
      <c r="Q39" s="324"/>
      <c r="R39" s="324"/>
      <c r="S39" s="324"/>
      <c r="T39" s="324"/>
      <c r="U39" s="165">
        <f>IF(Terrain_1!$H66="","",Terrain_1!$H66)</f>
      </c>
      <c r="V39" s="152"/>
      <c r="W39" s="133"/>
      <c r="X39" s="162" t="s">
        <v>227</v>
      </c>
      <c r="Y39" s="319">
        <f>Gagnant(Y34:AD35)</f>
      </c>
      <c r="Z39" s="319"/>
      <c r="AA39" s="319"/>
      <c r="AB39" s="319"/>
      <c r="AC39" s="319"/>
      <c r="AD39" s="110">
        <f>IF(Terrain_1!$H67="","",Terrain_1!$H67)</f>
      </c>
      <c r="AH39" s="156"/>
      <c r="AI39" s="156"/>
    </row>
    <row r="40" spans="1:35" s="102" customFormat="1" ht="18">
      <c r="A40" s="112"/>
      <c r="B40" s="157"/>
      <c r="C40" s="112"/>
      <c r="D40" s="112"/>
      <c r="E40" s="112"/>
      <c r="F40" s="133"/>
      <c r="G40" s="53"/>
      <c r="H40" s="112"/>
      <c r="I40" s="112"/>
      <c r="J40" s="112"/>
      <c r="K40" s="112"/>
      <c r="L40" s="112"/>
      <c r="M40" s="112"/>
      <c r="N40" s="152"/>
      <c r="O40" s="52"/>
      <c r="P40" s="112"/>
      <c r="Q40" s="112"/>
      <c r="R40" s="112"/>
      <c r="S40" s="112"/>
      <c r="T40" s="112"/>
      <c r="U40" s="112"/>
      <c r="V40" s="112"/>
      <c r="W40" s="112"/>
      <c r="X40" s="52"/>
      <c r="Y40" s="112"/>
      <c r="Z40" s="112"/>
      <c r="AA40" s="112"/>
      <c r="AB40" s="112"/>
      <c r="AC40" s="112"/>
      <c r="AD40" s="112"/>
      <c r="AH40" s="156"/>
      <c r="AI40" s="156"/>
    </row>
    <row r="41" spans="1:35" s="102" customFormat="1" ht="19.5" customHeight="1">
      <c r="A41" s="112"/>
      <c r="B41" s="112"/>
      <c r="C41" s="112" t="s">
        <v>228</v>
      </c>
      <c r="D41" s="112"/>
      <c r="G41" s="52"/>
      <c r="H41" s="112" t="s">
        <v>229</v>
      </c>
      <c r="I41" s="112"/>
      <c r="J41" s="112"/>
      <c r="M41" s="112"/>
      <c r="O41" s="52"/>
      <c r="P41" s="112" t="s">
        <v>230</v>
      </c>
      <c r="Q41" s="112"/>
      <c r="R41" s="112"/>
      <c r="U41" s="112"/>
      <c r="V41" s="157"/>
      <c r="W41" s="112"/>
      <c r="X41" s="52"/>
      <c r="Y41" s="112" t="s">
        <v>231</v>
      </c>
      <c r="Z41" s="112"/>
      <c r="AA41" s="112"/>
      <c r="AB41" s="112"/>
      <c r="AD41" s="112"/>
      <c r="AH41" s="156"/>
      <c r="AI41" s="156"/>
    </row>
    <row r="42" spans="1:35" s="102" customFormat="1" ht="18">
      <c r="A42" s="112"/>
      <c r="B42" s="154" t="s">
        <v>232</v>
      </c>
      <c r="C42" s="119">
        <f>Perdant(C38:D39)</f>
      </c>
      <c r="D42" s="120">
        <f>IF(Terrain_1!$G70="","",Terrain_1!$G70)</f>
      </c>
      <c r="E42" s="133"/>
      <c r="F42" s="152"/>
      <c r="G42" s="154" t="s">
        <v>233</v>
      </c>
      <c r="H42" s="325">
        <f>Gagnant(C38:D39)</f>
      </c>
      <c r="I42" s="325"/>
      <c r="J42" s="325"/>
      <c r="K42" s="325"/>
      <c r="L42" s="325"/>
      <c r="M42" s="120">
        <f>IF(Terrain_1!$G72="","",Terrain_1!$G72)</f>
      </c>
      <c r="N42" s="112"/>
      <c r="O42" s="154" t="s">
        <v>234</v>
      </c>
      <c r="P42" s="325">
        <f>Perdant(P38:U39)</f>
      </c>
      <c r="Q42" s="325"/>
      <c r="R42" s="325"/>
      <c r="S42" s="325"/>
      <c r="T42" s="325"/>
      <c r="U42" s="120">
        <f>IF(Terrain_1!$G74="","",Terrain_1!G74)</f>
      </c>
      <c r="V42" s="152"/>
      <c r="W42" s="133"/>
      <c r="X42" s="154" t="s">
        <v>235</v>
      </c>
      <c r="Y42" s="325">
        <f>Gagnant(P38:U39)</f>
      </c>
      <c r="Z42" s="325"/>
      <c r="AA42" s="325"/>
      <c r="AB42" s="325"/>
      <c r="AC42" s="325"/>
      <c r="AD42" s="120">
        <f>IF(Terrain_1!$G76="","",Terrain_1!$G76)</f>
      </c>
      <c r="AH42" s="156"/>
      <c r="AI42" s="156"/>
    </row>
    <row r="43" spans="1:35" s="102" customFormat="1" ht="18">
      <c r="A43" s="112"/>
      <c r="B43" s="155" t="s">
        <v>236</v>
      </c>
      <c r="C43" s="122">
        <f>Perdant(H38:M39)</f>
      </c>
      <c r="D43" s="123">
        <f>IF(Terrain_1!$H70="","",Terrain_1!$H70)</f>
      </c>
      <c r="E43" s="133"/>
      <c r="F43" s="152"/>
      <c r="G43" s="155" t="s">
        <v>237</v>
      </c>
      <c r="H43" s="326">
        <f>Gagnant(H38:M39)</f>
      </c>
      <c r="I43" s="326"/>
      <c r="J43" s="326"/>
      <c r="K43" s="326"/>
      <c r="L43" s="326"/>
      <c r="M43" s="123">
        <f>IF(Terrain_1!$H72="","",Terrain_1!$H72)</f>
      </c>
      <c r="N43" s="112"/>
      <c r="O43" s="155" t="s">
        <v>238</v>
      </c>
      <c r="P43" s="326">
        <f>Perdant(Y38:AD39)</f>
      </c>
      <c r="Q43" s="326"/>
      <c r="R43" s="326"/>
      <c r="S43" s="326"/>
      <c r="T43" s="326"/>
      <c r="U43" s="123">
        <f>IF(Terrain_1!$H74="","",Terrain_1!H74)</f>
      </c>
      <c r="V43" s="152"/>
      <c r="W43" s="133"/>
      <c r="X43" s="155" t="s">
        <v>239</v>
      </c>
      <c r="Y43" s="326">
        <f>Gagnant(Y38:AD39)</f>
      </c>
      <c r="Z43" s="326"/>
      <c r="AA43" s="326"/>
      <c r="AB43" s="326"/>
      <c r="AC43" s="326"/>
      <c r="AD43" s="123">
        <f>IF(Terrain_1!$H76="","",Terrain_1!$H76)</f>
      </c>
      <c r="AH43" s="156"/>
      <c r="AI43" s="156"/>
    </row>
    <row r="44" spans="3:30" ht="21">
      <c r="C44" s="327" t="s">
        <v>240</v>
      </c>
      <c r="D44" s="327"/>
      <c r="E44" s="327"/>
      <c r="I44" s="328" t="s">
        <v>241</v>
      </c>
      <c r="J44" s="328"/>
      <c r="K44" s="328"/>
      <c r="L44" s="328"/>
      <c r="M44" s="328"/>
      <c r="S44" s="329" t="s">
        <v>242</v>
      </c>
      <c r="T44" s="329"/>
      <c r="U44" s="329"/>
      <c r="AB44" s="328" t="s">
        <v>243</v>
      </c>
      <c r="AC44" s="328"/>
      <c r="AD44" s="328"/>
    </row>
  </sheetData>
  <sheetProtection/>
  <mergeCells count="54">
    <mergeCell ref="C44:E44"/>
    <mergeCell ref="I44:M44"/>
    <mergeCell ref="S44:U44"/>
    <mergeCell ref="AB44:AD44"/>
    <mergeCell ref="H42:L42"/>
    <mergeCell ref="P42:T42"/>
    <mergeCell ref="Y42:AC42"/>
    <mergeCell ref="H43:L43"/>
    <mergeCell ref="P43:T43"/>
    <mergeCell ref="Y43:AC43"/>
    <mergeCell ref="H38:L38"/>
    <mergeCell ref="P38:T38"/>
    <mergeCell ref="Y38:AC38"/>
    <mergeCell ref="H39:L39"/>
    <mergeCell ref="P39:T39"/>
    <mergeCell ref="Y39:AC39"/>
    <mergeCell ref="B32:AD32"/>
    <mergeCell ref="H34:L34"/>
    <mergeCell ref="P34:T34"/>
    <mergeCell ref="Y34:AC34"/>
    <mergeCell ref="H35:L35"/>
    <mergeCell ref="P35:T35"/>
    <mergeCell ref="Y35:AC35"/>
    <mergeCell ref="B27:M27"/>
    <mergeCell ref="A29:B29"/>
    <mergeCell ref="F29:G29"/>
    <mergeCell ref="H29:L29"/>
    <mergeCell ref="A30:B30"/>
    <mergeCell ref="F30:G30"/>
    <mergeCell ref="H30:L30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C2:H2"/>
    <mergeCell ref="J2:K2"/>
    <mergeCell ref="M2:V2"/>
    <mergeCell ref="C3:H3"/>
    <mergeCell ref="M3:V3"/>
    <mergeCell ref="B4:D4"/>
  </mergeCells>
  <conditionalFormatting sqref="P6:S6">
    <cfRule type="cellIs" priority="3" dxfId="8" operator="equal" stopIfTrue="1">
      <formula>0</formula>
    </cfRule>
  </conditionalFormatting>
  <conditionalFormatting sqref="H18:H25">
    <cfRule type="cellIs" priority="1" dxfId="0" operator="equal" stopIfTrue="1">
      <formula>0</formula>
    </cfRule>
  </conditionalFormatting>
  <conditionalFormatting sqref="AF7:AF15 N6 H17:H25">
    <cfRule type="cellIs" priority="2" dxfId="1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600" verticalDpi="600" orientation="landscape" paperSize="9" scale="61"/>
  <headerFooter alignWithMargins="0">
    <oddHeader xml:space="preserve">&amp;R&amp;"Arial,Gras"&amp;14   </oddHeader>
    <oddFooter>&amp;C&amp;"Arial,Gras"&amp;14&amp;A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AI40"/>
  <sheetViews>
    <sheetView zoomScale="80" zoomScaleNormal="80" workbookViewId="0" topLeftCell="A5">
      <selection activeCell="F1" sqref="F1"/>
    </sheetView>
  </sheetViews>
  <sheetFormatPr defaultColWidth="11.421875" defaultRowHeight="12.75"/>
  <cols>
    <col min="1" max="1" width="4.421875" style="44" customWidth="1"/>
    <col min="2" max="2" width="6.00390625" style="44" customWidth="1"/>
    <col min="3" max="3" width="23.57421875" style="44" customWidth="1"/>
    <col min="4" max="5" width="5.28125" style="44" customWidth="1"/>
    <col min="6" max="7" width="5.28125" style="45" customWidth="1"/>
    <col min="8" max="31" width="5.28125" style="44" customWidth="1"/>
    <col min="32" max="32" width="5.00390625" style="44" customWidth="1"/>
    <col min="33" max="33" width="5.7109375" style="44" customWidth="1"/>
    <col min="34" max="35" width="9.8515625" style="44" customWidth="1"/>
    <col min="36" max="16384" width="11.421875" style="44" customWidth="1"/>
  </cols>
  <sheetData>
    <row r="1" spans="6:7" s="41" customFormat="1" ht="90.75" customHeight="1">
      <c r="F1" s="46"/>
      <c r="G1" s="46"/>
    </row>
    <row r="2" spans="1:22" s="41" customFormat="1" ht="25.5" customHeight="1">
      <c r="A2" s="47" t="s">
        <v>70</v>
      </c>
      <c r="B2" s="47"/>
      <c r="C2" s="301" t="str">
        <f>saison</f>
        <v>2023-2024</v>
      </c>
      <c r="D2" s="302"/>
      <c r="E2" s="302"/>
      <c r="F2" s="302"/>
      <c r="G2" s="302"/>
      <c r="H2" s="303"/>
      <c r="I2" s="50"/>
      <c r="J2" s="304" t="s">
        <v>71</v>
      </c>
      <c r="K2" s="304"/>
      <c r="L2" s="125"/>
      <c r="M2" s="305" t="str">
        <f>lieu</f>
        <v>Montluçon</v>
      </c>
      <c r="N2" s="305"/>
      <c r="O2" s="305"/>
      <c r="P2" s="305"/>
      <c r="Q2" s="305"/>
      <c r="R2" s="305"/>
      <c r="S2" s="305"/>
      <c r="T2" s="305"/>
      <c r="U2" s="305"/>
      <c r="V2" s="305"/>
    </row>
    <row r="3" spans="1:22" s="41" customFormat="1" ht="21" customHeight="1">
      <c r="A3" s="47" t="s">
        <v>73</v>
      </c>
      <c r="C3" s="301" t="str">
        <f>date</f>
        <v>18-19 et 20 mai 2024</v>
      </c>
      <c r="D3" s="302"/>
      <c r="E3" s="302"/>
      <c r="F3" s="302"/>
      <c r="G3" s="302"/>
      <c r="H3" s="303"/>
      <c r="I3" s="50"/>
      <c r="J3" s="47" t="s">
        <v>74</v>
      </c>
      <c r="K3" s="126"/>
      <c r="L3" s="125"/>
      <c r="M3" s="301" t="str">
        <f>catégorie</f>
        <v>Division 1 Manche 3</v>
      </c>
      <c r="N3" s="302"/>
      <c r="O3" s="302"/>
      <c r="P3" s="302"/>
      <c r="Q3" s="302"/>
      <c r="R3" s="302"/>
      <c r="S3" s="302"/>
      <c r="T3" s="302"/>
      <c r="U3" s="302"/>
      <c r="V3" s="303"/>
    </row>
    <row r="4" spans="2:16" s="41" customFormat="1" ht="18" customHeight="1">
      <c r="B4" s="306" t="s">
        <v>75</v>
      </c>
      <c r="C4" s="306"/>
      <c r="D4" s="306"/>
      <c r="E4" s="73" t="str">
        <f>duréematch</f>
        <v>2*11' +2' de mi-temps +1' temps mort par  équipe +3' inter-match = 29'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2:16" s="41" customFormat="1" ht="9.75" customHeight="1">
      <c r="B5" s="72"/>
      <c r="C5" s="72"/>
      <c r="D5" s="7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2:15" ht="15.75">
      <c r="B6" s="75"/>
      <c r="D6" s="75"/>
      <c r="E6" s="76"/>
      <c r="H6" s="75"/>
      <c r="I6" s="75"/>
      <c r="J6" s="75"/>
      <c r="K6" s="75"/>
      <c r="L6" s="75"/>
      <c r="M6" s="75"/>
      <c r="N6" s="75"/>
      <c r="O6" s="75"/>
    </row>
    <row r="7" spans="2:35" s="41" customFormat="1" ht="30" customHeight="1">
      <c r="B7" s="77"/>
      <c r="C7" s="47"/>
      <c r="D7" s="78">
        <v>105</v>
      </c>
      <c r="E7" s="78">
        <v>106</v>
      </c>
      <c r="F7" s="78">
        <v>205</v>
      </c>
      <c r="G7" s="78">
        <v>206</v>
      </c>
      <c r="H7" s="78">
        <v>112</v>
      </c>
      <c r="I7" s="78">
        <v>211</v>
      </c>
      <c r="J7" s="78">
        <v>111</v>
      </c>
      <c r="K7" s="78">
        <v>212</v>
      </c>
      <c r="L7" s="78">
        <v>117</v>
      </c>
      <c r="M7" s="78">
        <v>118</v>
      </c>
      <c r="N7" s="78">
        <v>119</v>
      </c>
      <c r="O7" s="78">
        <v>120</v>
      </c>
      <c r="P7" s="78">
        <v>121</v>
      </c>
      <c r="Q7" s="78">
        <v>122</v>
      </c>
      <c r="R7" s="78">
        <v>217</v>
      </c>
      <c r="S7" s="78">
        <v>222</v>
      </c>
      <c r="T7" s="78">
        <v>127</v>
      </c>
      <c r="U7" s="78">
        <v>128</v>
      </c>
      <c r="V7" s="78">
        <v>227</v>
      </c>
      <c r="W7" s="78">
        <v>228</v>
      </c>
      <c r="X7" s="78">
        <v>133</v>
      </c>
      <c r="Y7" s="78">
        <v>134</v>
      </c>
      <c r="Z7" s="78">
        <v>233</v>
      </c>
      <c r="AA7" s="78">
        <v>234</v>
      </c>
      <c r="AB7" s="78">
        <v>139</v>
      </c>
      <c r="AC7" s="78">
        <v>140</v>
      </c>
      <c r="AD7" s="78">
        <v>239</v>
      </c>
      <c r="AE7" s="78">
        <v>240</v>
      </c>
      <c r="AF7" s="95" t="s">
        <v>198</v>
      </c>
      <c r="AG7" s="95" t="s">
        <v>199</v>
      </c>
      <c r="AH7" s="134" t="s">
        <v>200</v>
      </c>
      <c r="AI7" s="134" t="s">
        <v>201</v>
      </c>
    </row>
    <row r="8" spans="2:35" ht="15.75">
      <c r="B8" s="79" t="s">
        <v>107</v>
      </c>
      <c r="C8" s="80" t="str">
        <f>EQ2A</f>
        <v>PESSAC</v>
      </c>
      <c r="D8" s="81">
        <f>IF(Terrain_1!G13&lt;&gt;"",Terrain_1!G13,"")</f>
      </c>
      <c r="E8" s="82"/>
      <c r="F8" s="82"/>
      <c r="G8" s="82"/>
      <c r="H8" s="82"/>
      <c r="I8" s="82"/>
      <c r="J8" s="81">
        <f>IF(Terrain_1!G20&lt;&gt;"",Terrain_1!G20,"")</f>
      </c>
      <c r="K8" s="82"/>
      <c r="L8" s="81">
        <f>IF(Terrain_1!H26&lt;&gt;"",Terrain_1!H26,"")</f>
      </c>
      <c r="M8" s="82"/>
      <c r="N8" s="82"/>
      <c r="O8" s="82"/>
      <c r="P8" s="81">
        <f>IF(Terrain_1!G30&lt;&gt;"",Terrain_1!G30,"")</f>
      </c>
      <c r="Q8" s="82"/>
      <c r="R8" s="82"/>
      <c r="S8" s="82"/>
      <c r="T8" s="81">
        <f>IF(Terrain_1!H38&lt;&gt;"",Terrain_1!H38,"")</f>
      </c>
      <c r="U8" s="82"/>
      <c r="V8" s="82"/>
      <c r="W8" s="82"/>
      <c r="X8" s="82"/>
      <c r="Y8" s="81">
        <f>IF(Terrain_1!H46&lt;&gt;"",Terrain_1!H46,"")</f>
      </c>
      <c r="Z8" s="82"/>
      <c r="AA8" s="82"/>
      <c r="AB8" s="81">
        <f>IF(Terrain_1!G51&lt;&gt;"",Terrain_1!G51,"")</f>
      </c>
      <c r="AC8" s="82"/>
      <c r="AD8" s="82"/>
      <c r="AE8" s="82"/>
      <c r="AF8" s="97">
        <f>CalculPointMatchs(D8,D9,J8,J10,L8,L11,P8,P12,T8,T13,Y8,Y14,AB8,AB15)</f>
      </c>
      <c r="AG8" s="135">
        <f aca="true" t="shared" si="0" ref="AG8:AG15">IF(AE$10="","",RANK(AF8,$AF$8:$AF$15))</f>
      </c>
      <c r="AH8" s="135">
        <f>SUM(D9,J10,L11,P12,T13,Y14,AB15)</f>
        <v>0</v>
      </c>
      <c r="AI8" s="136">
        <f aca="true" t="shared" si="1" ref="AI8:AI15">SUM(D8:AE8)</f>
        <v>0</v>
      </c>
    </row>
    <row r="9" spans="2:35" ht="15.75">
      <c r="B9" s="83" t="s">
        <v>102</v>
      </c>
      <c r="C9" s="84" t="str">
        <f>EQ2B</f>
        <v>FRANCONVILLE</v>
      </c>
      <c r="D9" s="85">
        <f>IF(Terrain_1!H13&lt;&gt;"",Terrain_1!H13,"")</f>
      </c>
      <c r="E9" s="86"/>
      <c r="F9" s="86"/>
      <c r="G9" s="86"/>
      <c r="H9" s="85">
        <f>IF(Terrain_1!G21&lt;&gt;"",Terrain_1!G21,"")</f>
      </c>
      <c r="I9" s="86"/>
      <c r="J9" s="86"/>
      <c r="K9" s="86"/>
      <c r="L9" s="86"/>
      <c r="M9" s="85">
        <f>IF(Terrain_1!G27&lt;&gt;"",Terrain_1!G27,"")</f>
      </c>
      <c r="N9" s="86"/>
      <c r="O9" s="86"/>
      <c r="P9" s="86"/>
      <c r="Q9" s="85">
        <f>IF(Terrain_1!G31&lt;&gt;"",Terrain_1!G31,"")</f>
      </c>
      <c r="R9" s="86"/>
      <c r="S9" s="86"/>
      <c r="T9" s="86"/>
      <c r="U9" s="85">
        <f>IF(Terrain_1!H39&lt;&gt;"",Terrain_1!H39,"")</f>
      </c>
      <c r="V9" s="86"/>
      <c r="W9" s="86"/>
      <c r="X9" s="86"/>
      <c r="Y9" s="86"/>
      <c r="Z9" s="85">
        <f>IF(Terrain_2!G44&lt;&gt;"",Terrain_2!G44,"")</f>
      </c>
      <c r="AA9" s="86"/>
      <c r="AB9" s="86"/>
      <c r="AC9" s="85">
        <f>IF(Terrain_1!H52&lt;&gt;"",Terrain_1!H52,"")</f>
      </c>
      <c r="AD9" s="86"/>
      <c r="AE9" s="86"/>
      <c r="AF9" s="99">
        <f>CalculPointMatchs(D9,D8,H9,H11,M9,M12,Q9,Q13,U9,U10,Z9,Z15,AC9,AC14)</f>
      </c>
      <c r="AG9" s="137">
        <f t="shared" si="0"/>
      </c>
      <c r="AH9" s="137">
        <f>SUM(D8,H11,M12,Q13,U10,Z15,AC14)</f>
        <v>0</v>
      </c>
      <c r="AI9" s="138">
        <f t="shared" si="1"/>
        <v>0</v>
      </c>
    </row>
    <row r="10" spans="2:35" ht="15.75">
      <c r="B10" s="83" t="s">
        <v>103</v>
      </c>
      <c r="C10" s="84" t="str">
        <f>EQ2C</f>
        <v>LE CHESNAY</v>
      </c>
      <c r="D10" s="87"/>
      <c r="E10" s="85">
        <f>IF(Terrain_1!G14&lt;&gt;"",Terrain_1!G14,"")</f>
      </c>
      <c r="F10" s="86"/>
      <c r="G10" s="86"/>
      <c r="H10" s="86"/>
      <c r="I10" s="86"/>
      <c r="J10" s="85">
        <f>IF(Terrain_1!H20&lt;&gt;"",Terrain_1!H20,"")</f>
      </c>
      <c r="K10" s="86"/>
      <c r="L10" s="86"/>
      <c r="M10" s="86"/>
      <c r="N10" s="86"/>
      <c r="O10" s="85">
        <f>IF(Terrain_1!G29&lt;&gt;"",Terrain_1!G29,"")</f>
      </c>
      <c r="P10" s="86"/>
      <c r="Q10" s="86"/>
      <c r="R10" s="85">
        <f>IF(Terrain_2!H26&lt;&gt;"",Terrain_2!H26,"")</f>
      </c>
      <c r="S10" s="86"/>
      <c r="T10" s="86"/>
      <c r="U10" s="85">
        <f>IF(Terrain_1!G39&lt;&gt;"",Terrain_1!G39,"")</f>
      </c>
      <c r="V10" s="86"/>
      <c r="W10" s="86"/>
      <c r="X10" s="85">
        <f>IF(Terrain_1!G44&lt;&gt;"",Terrain_1!G44,"")</f>
      </c>
      <c r="Y10" s="86"/>
      <c r="Z10" s="86"/>
      <c r="AA10" s="86"/>
      <c r="AB10" s="86"/>
      <c r="AC10" s="86"/>
      <c r="AD10" s="86"/>
      <c r="AE10" s="85">
        <f>IF(Terrain_2!G52&lt;&gt;"",Terrain_2!G52,"")</f>
      </c>
      <c r="AF10" s="99">
        <f>CalculPointMatchs(E10,E11,J10,J8,O10,O15,R10,R14,U10,U9,X10,X13,AE10,AE12)</f>
      </c>
      <c r="AG10" s="137">
        <f t="shared" si="0"/>
      </c>
      <c r="AH10" s="137">
        <f>SUM(E11,J8,O15,R14,U9,X13,AE12)</f>
        <v>0</v>
      </c>
      <c r="AI10" s="138">
        <f t="shared" si="1"/>
        <v>0</v>
      </c>
    </row>
    <row r="11" spans="2:35" ht="15.75">
      <c r="B11" s="83" t="s">
        <v>104</v>
      </c>
      <c r="C11" s="84" t="str">
        <f>EQ2D</f>
        <v>NANTES</v>
      </c>
      <c r="D11" s="87"/>
      <c r="E11" s="85">
        <f>IF(Terrain_1!H14&lt;&gt;"",Terrain_1!H14,"")</f>
      </c>
      <c r="F11" s="86"/>
      <c r="G11" s="86"/>
      <c r="H11" s="85">
        <f>IF(Terrain_1!H21&lt;&gt;"",Terrain_1!H21,"")</f>
      </c>
      <c r="I11" s="86"/>
      <c r="J11" s="86"/>
      <c r="K11" s="86"/>
      <c r="L11" s="85">
        <f>IF(Terrain_1!G26&lt;&gt;"",Terrain_1!G26,"")</f>
      </c>
      <c r="M11" s="86"/>
      <c r="N11" s="86"/>
      <c r="O11" s="86"/>
      <c r="P11" s="86"/>
      <c r="Q11" s="86"/>
      <c r="R11" s="86"/>
      <c r="S11" s="85">
        <f>IF(Terrain_2!H31&lt;&gt;"",Terrain_2!H31,"")</f>
      </c>
      <c r="T11" s="86"/>
      <c r="U11" s="86"/>
      <c r="V11" s="85">
        <f>IF(Terrain_2!G38&lt;&gt;"",Terrain_2!G38,"")</f>
      </c>
      <c r="W11" s="86"/>
      <c r="X11" s="86"/>
      <c r="Y11" s="86"/>
      <c r="Z11" s="86"/>
      <c r="AA11" s="85">
        <f>IF(Terrain_2!H46&lt;&gt;"",Terrain_2!H46,"")</f>
      </c>
      <c r="AB11" s="86"/>
      <c r="AC11" s="86"/>
      <c r="AD11" s="85">
        <f>IF(Terrain_2!G51&lt;&gt;"",Terrain_2!G51,"")</f>
      </c>
      <c r="AE11" s="86"/>
      <c r="AF11" s="99">
        <f>CalculPointMatchs(E11,E10,H11,H9,L11,L8,S11,S15,V11,V14,AA11,AA12,AD11,AD13)</f>
      </c>
      <c r="AG11" s="137">
        <f t="shared" si="0"/>
      </c>
      <c r="AH11" s="137">
        <f>SUM(E10,H9,L8,S15,V14,AA12,AD13)</f>
        <v>0</v>
      </c>
      <c r="AI11" s="138">
        <f t="shared" si="1"/>
        <v>0</v>
      </c>
    </row>
    <row r="12" spans="2:35" ht="15.75">
      <c r="B12" s="83" t="s">
        <v>108</v>
      </c>
      <c r="C12" s="84" t="str">
        <f>EQ2E</f>
        <v>LE PUY EN VELAY</v>
      </c>
      <c r="D12" s="87"/>
      <c r="E12" s="86"/>
      <c r="F12" s="85">
        <f>IF(Terrain_2!G13&lt;&gt;"",Terrain_2!G13,"")</f>
      </c>
      <c r="G12" s="86"/>
      <c r="H12" s="86"/>
      <c r="I12" s="85">
        <f>IF(Terrain_2!G20&lt;&gt;"",Terrain_2!G20,"")</f>
      </c>
      <c r="J12" s="86"/>
      <c r="K12" s="86"/>
      <c r="L12" s="86"/>
      <c r="M12" s="85">
        <f>IF(Terrain_1!H27&lt;&gt;"",Terrain_1!H27,"")</f>
      </c>
      <c r="N12" s="86"/>
      <c r="O12" s="86"/>
      <c r="P12" s="85">
        <f>IF(Terrain_1!H30&lt;&gt;"",Terrain_1!H30,"")</f>
      </c>
      <c r="Q12" s="86"/>
      <c r="R12" s="86"/>
      <c r="S12" s="86"/>
      <c r="T12" s="86"/>
      <c r="U12" s="86"/>
      <c r="V12" s="86"/>
      <c r="W12" s="85">
        <f>IF(Terrain_2!H39&lt;&gt;"",Terrain_2!H39,"")</f>
      </c>
      <c r="X12" s="86"/>
      <c r="Y12" s="86"/>
      <c r="Z12" s="86"/>
      <c r="AA12" s="85">
        <f>IF(Terrain_2!G46&lt;&gt;"",Terrain_2!G46,"")</f>
      </c>
      <c r="AB12" s="86"/>
      <c r="AC12" s="86"/>
      <c r="AD12" s="86"/>
      <c r="AE12" s="85">
        <f>IF(Terrain_2!H52&lt;&gt;"",Terrain_2!H52,"")</f>
      </c>
      <c r="AF12" s="99">
        <f>CalculPointMatchs(F12,F13,I12,I14,M12,M9,P12,P8,W12,W15,AA12,AA11,AE12,AE10)</f>
      </c>
      <c r="AG12" s="137">
        <f t="shared" si="0"/>
      </c>
      <c r="AH12" s="137">
        <f>SUM(F13,I14,M9,P8,W15,AA11,AE10)</f>
        <v>0</v>
      </c>
      <c r="AI12" s="138">
        <f t="shared" si="1"/>
        <v>0</v>
      </c>
    </row>
    <row r="13" spans="2:35" ht="15.75">
      <c r="B13" s="83" t="s">
        <v>109</v>
      </c>
      <c r="C13" s="84" t="str">
        <f>EQ2F</f>
        <v>HYERES</v>
      </c>
      <c r="D13" s="87"/>
      <c r="E13" s="86"/>
      <c r="F13" s="85">
        <f>IF(Terrain_2!H13&lt;&gt;"",Terrain_2!H13,"")</f>
      </c>
      <c r="G13" s="86"/>
      <c r="H13" s="86"/>
      <c r="I13" s="86"/>
      <c r="J13" s="86"/>
      <c r="K13" s="85">
        <f>IF(Terrain_2!G21&lt;&gt;"",Terrain_2!G21,"")</f>
      </c>
      <c r="L13" s="86"/>
      <c r="M13" s="86"/>
      <c r="N13" s="85">
        <f>IF(Terrain_1!G28&lt;&gt;"",Terrain_1!G28,"")</f>
      </c>
      <c r="O13" s="86"/>
      <c r="P13" s="86"/>
      <c r="Q13" s="85">
        <f>IF(Terrain_1!H31&lt;&gt;"",Terrain_1!H31,"")</f>
      </c>
      <c r="R13" s="86"/>
      <c r="S13" s="86"/>
      <c r="T13" s="85">
        <f>IF(Terrain_1!G38&lt;&gt;"",Terrain_1!G38,"")</f>
      </c>
      <c r="U13" s="86"/>
      <c r="V13" s="86"/>
      <c r="W13" s="86"/>
      <c r="X13" s="85">
        <f>IF(Terrain_1!H44&lt;&gt;"",Terrain_1!H44,"")</f>
      </c>
      <c r="Y13" s="86"/>
      <c r="Z13" s="86"/>
      <c r="AA13" s="86"/>
      <c r="AB13" s="86"/>
      <c r="AC13" s="86"/>
      <c r="AD13" s="85">
        <f>IF(Terrain_2!H51&lt;&gt;"",Terrain_2!H51,"")</f>
      </c>
      <c r="AE13" s="86"/>
      <c r="AF13" s="99">
        <f>CalculPointMatchs(F13,F12,K13,K15,N13,N14,Q13,Q9,T13,T8,X13,X10,AD13,AD11)</f>
      </c>
      <c r="AG13" s="137">
        <f t="shared" si="0"/>
      </c>
      <c r="AH13" s="137">
        <f>SUM(F12,K15,N14,Q9,T8,X10,AD11)</f>
        <v>0</v>
      </c>
      <c r="AI13" s="138">
        <f t="shared" si="1"/>
        <v>0</v>
      </c>
    </row>
    <row r="14" spans="2:35" ht="15.75">
      <c r="B14" s="83" t="s">
        <v>110</v>
      </c>
      <c r="C14" s="84" t="str">
        <f>EQ2G</f>
        <v>MORLAIX</v>
      </c>
      <c r="D14" s="87"/>
      <c r="E14" s="86"/>
      <c r="F14" s="86"/>
      <c r="G14" s="85">
        <f>IF(Terrain_2!G14&lt;&gt;"",Terrain_2!G14,"")</f>
      </c>
      <c r="H14" s="86"/>
      <c r="I14" s="85">
        <f>IF(Terrain_2!H20&lt;&gt;"",Terrain_2!H20,"")</f>
      </c>
      <c r="J14" s="86"/>
      <c r="K14" s="86"/>
      <c r="L14" s="86"/>
      <c r="M14" s="86"/>
      <c r="N14" s="85">
        <f>IF(Terrain_1!H28&lt;&gt;"",Terrain_1!H28,"")</f>
      </c>
      <c r="O14" s="86"/>
      <c r="P14" s="86"/>
      <c r="Q14" s="86"/>
      <c r="R14" s="85">
        <f>IF(Terrain_2!G26&lt;&gt;"",Terrain_2!G26,"")</f>
      </c>
      <c r="S14" s="86"/>
      <c r="T14" s="86"/>
      <c r="U14" s="86"/>
      <c r="V14" s="85">
        <f>IF(Terrain_2!H38&lt;&gt;"",Terrain_2!H38,"")</f>
      </c>
      <c r="W14" s="86"/>
      <c r="X14" s="86"/>
      <c r="Y14" s="85">
        <f>IF(Terrain_1!G46&lt;&gt;"",Terrain_1!G46,"")</f>
      </c>
      <c r="Z14" s="86"/>
      <c r="AA14" s="86"/>
      <c r="AB14" s="86"/>
      <c r="AC14" s="85">
        <f>IF(Terrain_1!G52&lt;&gt;"",Terrain_1!G52,"")</f>
      </c>
      <c r="AD14" s="86"/>
      <c r="AE14" s="86"/>
      <c r="AF14" s="99">
        <f>CalculPointMatchs(G14,G15,I14,I12,N14,N13,R14,R10,V14,V11,Y14,Y8,AC14,AC9)</f>
      </c>
      <c r="AG14" s="137">
        <f t="shared" si="0"/>
      </c>
      <c r="AH14" s="137">
        <f>SUM(G15,I12,N13,R10,V11,Y8,AC9)</f>
        <v>0</v>
      </c>
      <c r="AI14" s="138">
        <f t="shared" si="1"/>
        <v>0</v>
      </c>
    </row>
    <row r="15" spans="2:35" ht="15.75">
      <c r="B15" s="88" t="s">
        <v>111</v>
      </c>
      <c r="C15" s="89" t="str">
        <f>EQ2H</f>
        <v>ERMONT</v>
      </c>
      <c r="D15" s="90"/>
      <c r="E15" s="91"/>
      <c r="F15" s="91"/>
      <c r="G15" s="92">
        <f>IF(Terrain_2!H14&lt;&gt;"",Terrain_2!H14,"")</f>
      </c>
      <c r="H15" s="91"/>
      <c r="I15" s="91"/>
      <c r="J15" s="91"/>
      <c r="K15" s="92">
        <f>IF(Terrain_2!H21&lt;&gt;"",Terrain_2!H21,"")</f>
      </c>
      <c r="L15" s="91"/>
      <c r="M15" s="91"/>
      <c r="N15" s="91"/>
      <c r="O15" s="92">
        <f>IF(Terrain_1!H29&lt;&gt;"",Terrain_1!H29,"")</f>
      </c>
      <c r="P15" s="91"/>
      <c r="Q15" s="91"/>
      <c r="R15" s="91"/>
      <c r="S15" s="92">
        <f>IF(Terrain_2!G31&lt;&gt;"",Terrain_2!G31,"")</f>
      </c>
      <c r="T15" s="91"/>
      <c r="U15" s="91"/>
      <c r="V15" s="91"/>
      <c r="W15" s="92">
        <f>IF(Terrain_2!G39&lt;&gt;"",Terrain_2!G39,"")</f>
      </c>
      <c r="X15" s="91"/>
      <c r="Y15" s="91"/>
      <c r="Z15" s="92">
        <f>IF(Terrain_2!H44&lt;&gt;"",Terrain_2!H44,"")</f>
      </c>
      <c r="AA15" s="91"/>
      <c r="AB15" s="92">
        <f>IF(Terrain_1!H51&lt;&gt;"",Terrain_1!H51,"")</f>
      </c>
      <c r="AC15" s="91"/>
      <c r="AD15" s="91"/>
      <c r="AE15" s="91"/>
      <c r="AF15" s="101">
        <f>CalculPointMatchs(G15,G14,K15,K13,O15,O10,S15,S11,W15,W12,Z15,Z9,AB15,AB8)</f>
      </c>
      <c r="AG15" s="139">
        <f t="shared" si="0"/>
      </c>
      <c r="AH15" s="139">
        <f>SUM(G14,K13,O10,S11,W12,Z9,AB8)</f>
        <v>0</v>
      </c>
      <c r="AI15" s="140">
        <f t="shared" si="1"/>
        <v>0</v>
      </c>
    </row>
    <row r="16" ht="15.75">
      <c r="E16" s="93"/>
    </row>
    <row r="17" spans="4:9" ht="15">
      <c r="D17" s="307" t="s">
        <v>244</v>
      </c>
      <c r="E17" s="307"/>
      <c r="F17" s="307" t="s">
        <v>203</v>
      </c>
      <c r="G17" s="307"/>
      <c r="H17" s="77" t="s">
        <v>198</v>
      </c>
      <c r="I17" s="77" t="s">
        <v>199</v>
      </c>
    </row>
    <row r="18" spans="3:9" ht="15.75">
      <c r="C18" s="96" t="str">
        <f>EQ2A</f>
        <v>PESSAC</v>
      </c>
      <c r="D18" s="330">
        <v>8</v>
      </c>
      <c r="E18" s="330"/>
      <c r="F18" s="308">
        <f>_xlfn.IFERROR(9-1.01*INDEX(AG8:AG15,MATCH(C18,C8:C15,0)),"")</f>
      </c>
      <c r="G18" s="308"/>
      <c r="H18" s="97">
        <f aca="true" t="shared" si="2" ref="H18:H25">IF(F18="","",SUM(D18:G18))</f>
      </c>
      <c r="I18" s="128">
        <f aca="true" t="shared" si="3" ref="I18:I25">IF(F18="","",RANK(H18,$H$18:$H$25))</f>
      </c>
    </row>
    <row r="19" spans="3:9" ht="15.75">
      <c r="C19" s="98" t="str">
        <f>EQ2B</f>
        <v>FRANCONVILLE</v>
      </c>
      <c r="D19" s="331">
        <v>7</v>
      </c>
      <c r="E19" s="331"/>
      <c r="F19" s="309">
        <f>_xlfn.IFERROR(9-1.01*INDEX(AG8:AG15,MATCH(C19,C8:C15,0)),"")</f>
      </c>
      <c r="G19" s="309"/>
      <c r="H19" s="99">
        <f t="shared" si="2"/>
      </c>
      <c r="I19" s="129">
        <f t="shared" si="3"/>
      </c>
    </row>
    <row r="20" spans="3:9" ht="15.75">
      <c r="C20" s="98" t="str">
        <f>EQ2C</f>
        <v>LE CHESNAY</v>
      </c>
      <c r="D20" s="331">
        <v>6</v>
      </c>
      <c r="E20" s="331"/>
      <c r="F20" s="309">
        <f>_xlfn.IFERROR(9-1.01*INDEX(AG8:AG15,MATCH(C20,C8:C15,0)),"")</f>
      </c>
      <c r="G20" s="309"/>
      <c r="H20" s="99">
        <f t="shared" si="2"/>
      </c>
      <c r="I20" s="129">
        <f t="shared" si="3"/>
      </c>
    </row>
    <row r="21" spans="3:9" ht="15.75">
      <c r="C21" s="98" t="str">
        <f>EQ2D</f>
        <v>NANTES</v>
      </c>
      <c r="D21" s="331">
        <v>5</v>
      </c>
      <c r="E21" s="331"/>
      <c r="F21" s="309">
        <f>_xlfn.IFERROR(9-1.01*INDEX(AG8:AG15,MATCH(C21,C8:C15,0)),"")</f>
      </c>
      <c r="G21" s="309"/>
      <c r="H21" s="99">
        <f t="shared" si="2"/>
      </c>
      <c r="I21" s="129">
        <f t="shared" si="3"/>
      </c>
    </row>
    <row r="22" spans="3:9" ht="15.75">
      <c r="C22" s="98" t="str">
        <f>EQ2E</f>
        <v>LE PUY EN VELAY</v>
      </c>
      <c r="D22" s="331">
        <v>4</v>
      </c>
      <c r="E22" s="331"/>
      <c r="F22" s="309">
        <f>_xlfn.IFERROR(9-1.01*INDEX(AG8:AG15,MATCH(C22,C8:C15,0)),"")</f>
      </c>
      <c r="G22" s="309"/>
      <c r="H22" s="99">
        <f t="shared" si="2"/>
      </c>
      <c r="I22" s="129">
        <f t="shared" si="3"/>
      </c>
    </row>
    <row r="23" spans="3:9" ht="15.75">
      <c r="C23" s="98" t="str">
        <f>EQ2F</f>
        <v>HYERES</v>
      </c>
      <c r="D23" s="331">
        <v>3</v>
      </c>
      <c r="E23" s="331"/>
      <c r="F23" s="309">
        <f>_xlfn.IFERROR(9-1.01*INDEX(AG8:AG15,MATCH(C23,C8:C15,0)),"")</f>
      </c>
      <c r="G23" s="309"/>
      <c r="H23" s="99">
        <f t="shared" si="2"/>
      </c>
      <c r="I23" s="129">
        <f t="shared" si="3"/>
      </c>
    </row>
    <row r="24" spans="3:9" ht="15.75">
      <c r="C24" s="98" t="str">
        <f>EQ2G</f>
        <v>MORLAIX</v>
      </c>
      <c r="D24" s="331">
        <v>2</v>
      </c>
      <c r="E24" s="331"/>
      <c r="F24" s="309">
        <f>_xlfn.IFERROR(9-1.01*INDEX(AG8:AG15,MATCH(C24,C8:C15,0)),"")</f>
      </c>
      <c r="G24" s="309"/>
      <c r="H24" s="99">
        <f t="shared" si="2"/>
      </c>
      <c r="I24" s="129">
        <f t="shared" si="3"/>
      </c>
    </row>
    <row r="25" spans="3:9" ht="15.75">
      <c r="C25" s="100" t="str">
        <f>EQ2H</f>
        <v>ERMONT</v>
      </c>
      <c r="D25" s="332">
        <v>1</v>
      </c>
      <c r="E25" s="332"/>
      <c r="F25" s="310">
        <f>_xlfn.IFERROR(9-1.01*INDEX(AG8:AG15,MATCH(C25,C8:C15,0)),"")</f>
      </c>
      <c r="G25" s="310"/>
      <c r="H25" s="101">
        <f t="shared" si="2"/>
      </c>
      <c r="I25" s="130">
        <f t="shared" si="3"/>
      </c>
    </row>
    <row r="26" spans="3:9" ht="15.75">
      <c r="C26" s="141"/>
      <c r="D26" s="142"/>
      <c r="E26" s="142"/>
      <c r="F26" s="142"/>
      <c r="G26" s="142"/>
      <c r="H26" s="143"/>
      <c r="I26" s="94"/>
    </row>
    <row r="27" spans="1:30" ht="18">
      <c r="A27" s="102"/>
      <c r="B27" s="102"/>
      <c r="C27" s="102" t="s">
        <v>245</v>
      </c>
      <c r="D27" s="102"/>
      <c r="E27" s="132"/>
      <c r="F27" s="102"/>
      <c r="G27" s="102"/>
      <c r="H27" s="102" t="s">
        <v>246</v>
      </c>
      <c r="I27" s="102"/>
      <c r="J27" s="102"/>
      <c r="K27" s="102"/>
      <c r="L27" s="102"/>
      <c r="M27" s="102"/>
      <c r="N27" s="102"/>
      <c r="O27" s="102"/>
      <c r="P27" s="102" t="s">
        <v>247</v>
      </c>
      <c r="Q27" s="102"/>
      <c r="R27" s="102"/>
      <c r="S27" s="102"/>
      <c r="T27" s="102"/>
      <c r="U27" s="132"/>
      <c r="V27" s="156"/>
      <c r="W27" s="102"/>
      <c r="X27" s="102"/>
      <c r="Y27" s="102" t="s">
        <v>248</v>
      </c>
      <c r="Z27" s="102"/>
      <c r="AA27" s="102"/>
      <c r="AB27" s="102"/>
      <c r="AC27" s="102"/>
      <c r="AD27" s="102"/>
    </row>
    <row r="28" spans="1:31" ht="18">
      <c r="A28" s="102"/>
      <c r="B28" s="144" t="s">
        <v>166</v>
      </c>
      <c r="C28" s="145">
        <f>Perdant('Groupe A'!H29:M30)</f>
      </c>
      <c r="D28" s="146">
        <f>IF(Terrain_2!$G60="","",Terrain_2!G60)</f>
      </c>
      <c r="E28" s="132"/>
      <c r="F28" s="147"/>
      <c r="G28" s="144" t="s">
        <v>168</v>
      </c>
      <c r="H28" s="333">
        <f>_xlfn.IFERROR(INDEX(C18:C25,MATCH(4,I18:I25,0)),"")</f>
      </c>
      <c r="I28" s="333"/>
      <c r="J28" s="333"/>
      <c r="K28" s="333"/>
      <c r="L28" s="333"/>
      <c r="M28" s="146">
        <f>IF(Terrain_2!$G61="","",Terrain_2!G61)</f>
      </c>
      <c r="N28" s="102"/>
      <c r="O28" s="144" t="s">
        <v>170</v>
      </c>
      <c r="P28" s="333">
        <f>_xlfn.IFERROR(INDEX(C18:C25,MATCH(3,I18:I25,0)),"")</f>
      </c>
      <c r="Q28" s="333"/>
      <c r="R28" s="333"/>
      <c r="S28" s="333"/>
      <c r="T28" s="333"/>
      <c r="U28" s="146">
        <f>IF(Terrain_2!$G62="","",Terrain_2!G62)</f>
      </c>
      <c r="V28" s="147"/>
      <c r="W28" s="132"/>
      <c r="X28" s="144" t="s">
        <v>172</v>
      </c>
      <c r="Y28" s="333">
        <f>Perdant('Groupe A'!C29:D30)</f>
      </c>
      <c r="Z28" s="333"/>
      <c r="AA28" s="333"/>
      <c r="AB28" s="333"/>
      <c r="AC28" s="333"/>
      <c r="AD28" s="146">
        <f>IF(Terrain_2!$G63="","",Terrain_2!G63)</f>
      </c>
      <c r="AE28" s="71"/>
    </row>
    <row r="29" spans="1:31" ht="18">
      <c r="A29" s="102"/>
      <c r="B29" s="148" t="s">
        <v>167</v>
      </c>
      <c r="C29" s="149">
        <f>_xlfn.IFERROR(INDEX(C18:C25,MATCH(8,I18:I25,0)),"")</f>
      </c>
      <c r="D29" s="150">
        <f>IF(Terrain_2!$H60="","",Terrain_2!$H60)</f>
      </c>
      <c r="E29" s="132"/>
      <c r="F29" s="147"/>
      <c r="G29" s="148" t="s">
        <v>169</v>
      </c>
      <c r="H29" s="334">
        <f>_xlfn.IFERROR(INDEX(C18:C25,MATCH(5,I18:I25,0)),"")</f>
      </c>
      <c r="I29" s="334"/>
      <c r="J29" s="334"/>
      <c r="K29" s="334"/>
      <c r="L29" s="334"/>
      <c r="M29" s="150">
        <f>IF(Terrain_2!$H61="","",Terrain_2!$H61)</f>
      </c>
      <c r="N29" s="102"/>
      <c r="O29" s="148" t="s">
        <v>171</v>
      </c>
      <c r="P29" s="334">
        <f>_xlfn.IFERROR(INDEX(C18:C25,MATCH(6,I18:I25,0)),"")</f>
      </c>
      <c r="Q29" s="334"/>
      <c r="R29" s="334"/>
      <c r="S29" s="334"/>
      <c r="T29" s="334"/>
      <c r="U29" s="150">
        <f>IF(Terrain_2!$H62="","",Terrain_2!$H62)</f>
      </c>
      <c r="V29" s="147"/>
      <c r="W29" s="132"/>
      <c r="X29" s="148" t="s">
        <v>173</v>
      </c>
      <c r="Y29" s="334">
        <f>_xlfn.IFERROR(INDEX(C18:C25,MATCH(7,I18:I25,0)),"")</f>
      </c>
      <c r="Z29" s="334"/>
      <c r="AA29" s="334"/>
      <c r="AB29" s="334"/>
      <c r="AC29" s="334"/>
      <c r="AD29" s="150">
        <f>IF(Terrain_2!$H63="","",Terrain_2!$H63)</f>
      </c>
      <c r="AE29" s="71"/>
    </row>
    <row r="30" spans="1:30" ht="18">
      <c r="A30" s="112"/>
      <c r="B30" s="111"/>
      <c r="C30" s="112"/>
      <c r="D30" s="112"/>
      <c r="E30" s="112"/>
      <c r="F30" s="133"/>
      <c r="G30" s="53"/>
      <c r="H30" s="112"/>
      <c r="I30" s="112"/>
      <c r="J30" s="112"/>
      <c r="K30" s="112"/>
      <c r="L30" s="112"/>
      <c r="M30" s="112"/>
      <c r="N30" s="152"/>
      <c r="O30" s="52"/>
      <c r="P30" s="112"/>
      <c r="Q30" s="112"/>
      <c r="R30" s="112"/>
      <c r="S30" s="112"/>
      <c r="T30" s="112"/>
      <c r="U30" s="112"/>
      <c r="V30" s="112"/>
      <c r="W30" s="112"/>
      <c r="X30" s="52"/>
      <c r="Y30" s="112"/>
      <c r="Z30" s="112"/>
      <c r="AA30" s="112"/>
      <c r="AB30" s="112"/>
      <c r="AC30" s="112"/>
      <c r="AD30" s="112"/>
    </row>
    <row r="31" spans="1:30" ht="18">
      <c r="A31" s="112"/>
      <c r="B31" s="52"/>
      <c r="C31" s="112" t="s">
        <v>249</v>
      </c>
      <c r="D31" s="112"/>
      <c r="E31" s="133"/>
      <c r="F31" s="112"/>
      <c r="G31" s="52"/>
      <c r="H31" s="112" t="s">
        <v>250</v>
      </c>
      <c r="I31" s="112"/>
      <c r="J31" s="112"/>
      <c r="K31" s="112"/>
      <c r="L31" s="112"/>
      <c r="M31" s="112"/>
      <c r="N31" s="112"/>
      <c r="O31" s="52"/>
      <c r="P31" s="112" t="s">
        <v>251</v>
      </c>
      <c r="Q31" s="112"/>
      <c r="R31" s="112"/>
      <c r="S31" s="112"/>
      <c r="T31" s="112"/>
      <c r="U31" s="133"/>
      <c r="V31" s="157"/>
      <c r="W31" s="112"/>
      <c r="X31" s="52"/>
      <c r="Y31" s="112" t="s">
        <v>252</v>
      </c>
      <c r="Z31" s="112"/>
      <c r="AA31" s="112"/>
      <c r="AB31" s="112"/>
      <c r="AC31" s="112"/>
      <c r="AD31" s="112"/>
    </row>
    <row r="32" spans="1:30" s="71" customFormat="1" ht="18">
      <c r="A32" s="112"/>
      <c r="B32" s="151" t="s">
        <v>253</v>
      </c>
      <c r="C32" s="145">
        <f>Perdant(C28:D29)</f>
      </c>
      <c r="D32" s="146">
        <f>IF(Terrain_1!$H69="","",Terrain_1!H69)</f>
      </c>
      <c r="E32" s="133"/>
      <c r="F32" s="152"/>
      <c r="G32" s="151" t="s">
        <v>254</v>
      </c>
      <c r="H32" s="333">
        <f>Perdant(P28:U29)</f>
      </c>
      <c r="I32" s="333">
        <f>IF(J28="","",IF(J28&lt;J29,I28,I29))</f>
      </c>
      <c r="J32" s="333">
        <f>IF(K28="","",IF(K28&lt;K29,J28,J29))</f>
      </c>
      <c r="K32" s="333">
        <f>IF(L28="","",IF(L28&lt;L29,K28,K29))</f>
      </c>
      <c r="L32" s="333">
        <f>IF(M28="","",IF(M28&lt;M29,L28,L29))</f>
      </c>
      <c r="M32" s="146">
        <f>IF(Terrain_2!$H69="","",Terrain_2!$H69)</f>
      </c>
      <c r="N32" s="112"/>
      <c r="O32" s="151" t="s">
        <v>255</v>
      </c>
      <c r="P32" s="333">
        <f>Gagnant(C28:D29)</f>
      </c>
      <c r="Q32" s="333"/>
      <c r="R32" s="333"/>
      <c r="S32" s="333"/>
      <c r="T32" s="333"/>
      <c r="U32" s="146">
        <f>IF(Terrain_1!$H71="","",Terrain_1!H71)</f>
      </c>
      <c r="V32" s="152"/>
      <c r="W32" s="133"/>
      <c r="X32" s="151" t="s">
        <v>256</v>
      </c>
      <c r="Y32" s="333">
        <f>Gagnant(P28:U29)</f>
      </c>
      <c r="Z32" s="333"/>
      <c r="AA32" s="333"/>
      <c r="AB32" s="333"/>
      <c r="AC32" s="333"/>
      <c r="AD32" s="146">
        <f>IF(Terrain_2!$H70="","",Terrain_2!$H70)</f>
      </c>
    </row>
    <row r="33" spans="1:30" s="71" customFormat="1" ht="18">
      <c r="A33" s="112"/>
      <c r="B33" s="153" t="s">
        <v>257</v>
      </c>
      <c r="C33" s="149">
        <f>Perdant(H28:M29)</f>
      </c>
      <c r="D33" s="150">
        <f>IF(Terrain_1!$G69="","",Terrain_1!$G69)</f>
      </c>
      <c r="E33" s="133"/>
      <c r="F33" s="152"/>
      <c r="G33" s="153" t="s">
        <v>258</v>
      </c>
      <c r="H33" s="334">
        <f>Perdant(Y28:AD29)</f>
      </c>
      <c r="I33" s="334">
        <f>IF(S28="","",IF(S28&lt;S29,N28,N29))</f>
      </c>
      <c r="J33" s="334">
        <f>IF(T28="","",IF(T28&lt;T29,O28,O29))</f>
      </c>
      <c r="K33" s="334">
        <f>IF(U28="","",IF(U28&lt;U29,P28,P29))</f>
      </c>
      <c r="L33" s="334">
        <f>IF(V28="","",IF(V28&lt;V29,Q28,Q29))</f>
      </c>
      <c r="M33" s="150">
        <f>IF(Terrain_2!$G69="","",Terrain_2!$G69)</f>
      </c>
      <c r="N33" s="112"/>
      <c r="O33" s="153" t="s">
        <v>259</v>
      </c>
      <c r="P33" s="334">
        <f>Gagnant(H28:M29)</f>
      </c>
      <c r="Q33" s="334"/>
      <c r="R33" s="334"/>
      <c r="S33" s="334"/>
      <c r="T33" s="334"/>
      <c r="U33" s="150">
        <f>IF(Terrain_1!$G71="","",Terrain_1!$G71)</f>
      </c>
      <c r="V33" s="152"/>
      <c r="W33" s="133"/>
      <c r="X33" s="153" t="s">
        <v>260</v>
      </c>
      <c r="Y33" s="334">
        <f>Gagnant(Y28:AD29)</f>
      </c>
      <c r="Z33" s="334"/>
      <c r="AA33" s="334"/>
      <c r="AB33" s="334"/>
      <c r="AC33" s="334"/>
      <c r="AD33" s="150">
        <f>IF(Terrain_2!$G70="","",Terrain_2!$G70)</f>
      </c>
    </row>
    <row r="34" spans="1:30" ht="18">
      <c r="A34" s="112"/>
      <c r="B34" s="111"/>
      <c r="C34" s="112"/>
      <c r="D34" s="112"/>
      <c r="E34" s="112"/>
      <c r="F34" s="112"/>
      <c r="G34" s="53"/>
      <c r="H34" s="112"/>
      <c r="I34" s="112"/>
      <c r="J34" s="112"/>
      <c r="K34" s="112"/>
      <c r="L34" s="112"/>
      <c r="M34" s="112"/>
      <c r="N34" s="152"/>
      <c r="O34" s="52"/>
      <c r="P34" s="112"/>
      <c r="Q34" s="112"/>
      <c r="R34" s="112"/>
      <c r="S34" s="112"/>
      <c r="T34" s="112"/>
      <c r="U34" s="112"/>
      <c r="V34" s="112"/>
      <c r="W34" s="112"/>
      <c r="X34" s="52"/>
      <c r="Y34" s="112"/>
      <c r="Z34" s="112"/>
      <c r="AA34" s="112"/>
      <c r="AB34" s="112"/>
      <c r="AC34" s="112"/>
      <c r="AD34" s="112"/>
    </row>
    <row r="35" spans="1:30" ht="18">
      <c r="A35" s="112"/>
      <c r="B35" s="52"/>
      <c r="C35" s="112" t="s">
        <v>261</v>
      </c>
      <c r="D35" s="52"/>
      <c r="E35" s="112"/>
      <c r="F35" s="112"/>
      <c r="G35" s="52"/>
      <c r="H35" s="112" t="s">
        <v>262</v>
      </c>
      <c r="I35" s="112"/>
      <c r="J35" s="112"/>
      <c r="M35" s="52"/>
      <c r="N35" s="112"/>
      <c r="O35" s="52"/>
      <c r="P35" s="112" t="s">
        <v>263</v>
      </c>
      <c r="Q35" s="112"/>
      <c r="R35" s="112"/>
      <c r="U35" s="52"/>
      <c r="V35" s="157"/>
      <c r="W35" s="112"/>
      <c r="X35" s="52"/>
      <c r="Y35" s="112" t="s">
        <v>264</v>
      </c>
      <c r="Z35" s="112"/>
      <c r="AA35" s="112"/>
      <c r="AB35" s="112"/>
      <c r="AD35" s="52"/>
    </row>
    <row r="36" spans="1:30" s="71" customFormat="1" ht="18">
      <c r="A36" s="112"/>
      <c r="B36" s="154" t="s">
        <v>265</v>
      </c>
      <c r="C36" s="119">
        <f>Perdant(C32:D33)</f>
      </c>
      <c r="D36" s="120">
        <f>IF(Terrain_2!$G72="","",Terrain_2!G72)</f>
      </c>
      <c r="E36" s="133"/>
      <c r="F36" s="152"/>
      <c r="G36" s="154" t="s">
        <v>266</v>
      </c>
      <c r="H36" s="325">
        <f>Gagnant(C32:D33)</f>
      </c>
      <c r="I36" s="325"/>
      <c r="J36" s="325"/>
      <c r="K36" s="325"/>
      <c r="L36" s="325"/>
      <c r="M36" s="120">
        <f>IF(Terrain_2!$G74="","",Terrain_2!$G74)</f>
      </c>
      <c r="N36" s="112"/>
      <c r="O36" s="154" t="s">
        <v>267</v>
      </c>
      <c r="P36" s="325">
        <f>Perdant(P32:U33)</f>
      </c>
      <c r="Q36" s="325">
        <f>IF(J32="","",IF(J32&lt;J33,I32,I33))</f>
      </c>
      <c r="R36" s="325">
        <f>IF(K32="","",IF(K32&lt;K33,J32,J33))</f>
      </c>
      <c r="S36" s="325">
        <f>IF(L32="","",IF(L32&lt;L33,K32,K33))</f>
      </c>
      <c r="T36" s="325">
        <f>IF(M32="","",IF(M32&lt;M33,L32,L33))</f>
      </c>
      <c r="U36" s="120">
        <f>IF(Terrain_1!$G73="","",Terrain_1!$G73)</f>
      </c>
      <c r="V36" s="152"/>
      <c r="W36" s="133"/>
      <c r="X36" s="154" t="s">
        <v>268</v>
      </c>
      <c r="Y36" s="325">
        <f>Gagnant(P32:U33)</f>
      </c>
      <c r="Z36" s="325"/>
      <c r="AA36" s="325"/>
      <c r="AB36" s="325"/>
      <c r="AC36" s="325"/>
      <c r="AD36" s="120">
        <f>IF(Terrain_1!$G75="","",Terrain_1!$G75)</f>
      </c>
    </row>
    <row r="37" spans="1:30" s="71" customFormat="1" ht="18">
      <c r="A37" s="112"/>
      <c r="B37" s="155" t="s">
        <v>269</v>
      </c>
      <c r="C37" s="122">
        <f>Perdant(H32:M33)</f>
      </c>
      <c r="D37" s="123">
        <f>IF(Terrain_2!$H72="","",Terrain_2!$H72)</f>
      </c>
      <c r="E37" s="133"/>
      <c r="F37" s="152"/>
      <c r="G37" s="155" t="s">
        <v>270</v>
      </c>
      <c r="H37" s="326">
        <f>Gagnant(H32:M33)</f>
      </c>
      <c r="I37" s="326"/>
      <c r="J37" s="326"/>
      <c r="K37" s="326"/>
      <c r="L37" s="326"/>
      <c r="M37" s="123">
        <f>IF(Terrain_2!$H74="","",Terrain_2!$H74)</f>
      </c>
      <c r="N37" s="112"/>
      <c r="O37" s="155" t="s">
        <v>271</v>
      </c>
      <c r="P37" s="326">
        <f>Perdant(Y32:AD33)</f>
      </c>
      <c r="Q37" s="326">
        <f>IF(S32="","",IF(S32&lt;S33,N32,N33))</f>
      </c>
      <c r="R37" s="326">
        <f>IF(T32="","",IF(T32&lt;T33,O32,O33))</f>
      </c>
      <c r="S37" s="326">
        <f>IF(U32="","",IF(U32&lt;U33,P32,P33))</f>
      </c>
      <c r="T37" s="326">
        <f>IF(V32="","",IF(V32&lt;V33,Q32,Q33))</f>
      </c>
      <c r="U37" s="123">
        <f>IF(Terrain_1!$H73="","",Terrain_1!$H73)</f>
      </c>
      <c r="V37" s="152"/>
      <c r="W37" s="133"/>
      <c r="X37" s="155" t="s">
        <v>272</v>
      </c>
      <c r="Y37" s="326">
        <f>Gagnant(Y32:AD33)</f>
      </c>
      <c r="Z37" s="326"/>
      <c r="AA37" s="326"/>
      <c r="AB37" s="326"/>
      <c r="AC37" s="326"/>
      <c r="AD37" s="123">
        <f>IF(Terrain_1!$H75="","",Terrain_1!$H75)</f>
      </c>
    </row>
    <row r="38" spans="1:30" ht="21">
      <c r="A38" s="102"/>
      <c r="B38" s="102"/>
      <c r="C38" s="124" t="s">
        <v>273</v>
      </c>
      <c r="D38" s="102"/>
      <c r="E38" s="102"/>
      <c r="F38" s="132"/>
      <c r="G38" s="132"/>
      <c r="H38" s="102"/>
      <c r="I38" s="328" t="s">
        <v>274</v>
      </c>
      <c r="J38" s="328"/>
      <c r="K38" s="328"/>
      <c r="L38" s="328"/>
      <c r="M38" s="328"/>
      <c r="N38" s="102"/>
      <c r="P38" s="102"/>
      <c r="Q38" s="328" t="s">
        <v>275</v>
      </c>
      <c r="R38" s="328"/>
      <c r="S38" s="328"/>
      <c r="T38" s="328"/>
      <c r="U38" s="328"/>
      <c r="V38" s="102"/>
      <c r="W38" s="102"/>
      <c r="X38" s="102"/>
      <c r="Y38" s="102"/>
      <c r="Z38" s="102"/>
      <c r="AA38" s="102"/>
      <c r="AB38" s="328" t="s">
        <v>243</v>
      </c>
      <c r="AC38" s="328"/>
      <c r="AD38" s="328"/>
    </row>
    <row r="39" spans="1:30" ht="18">
      <c r="A39" s="102"/>
      <c r="B39" s="102"/>
      <c r="C39" s="147"/>
      <c r="D39" s="102"/>
      <c r="E39" s="102"/>
      <c r="F39" s="132"/>
      <c r="G39" s="13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</row>
    <row r="40" spans="1:30" ht="18">
      <c r="A40" s="102"/>
      <c r="B40" s="102"/>
      <c r="C40" s="102"/>
      <c r="D40" s="102"/>
      <c r="E40" s="102"/>
      <c r="F40" s="132"/>
      <c r="G40" s="13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</row>
  </sheetData>
  <sheetProtection/>
  <mergeCells count="45">
    <mergeCell ref="I38:M38"/>
    <mergeCell ref="Q38:U38"/>
    <mergeCell ref="AB38:AD38"/>
    <mergeCell ref="H36:L36"/>
    <mergeCell ref="P36:T36"/>
    <mergeCell ref="Y36:AC36"/>
    <mergeCell ref="H37:L37"/>
    <mergeCell ref="P37:T37"/>
    <mergeCell ref="Y37:AC37"/>
    <mergeCell ref="H32:L32"/>
    <mergeCell ref="P32:T32"/>
    <mergeCell ref="Y32:AC32"/>
    <mergeCell ref="H33:L33"/>
    <mergeCell ref="P33:T33"/>
    <mergeCell ref="Y33:AC33"/>
    <mergeCell ref="H28:L28"/>
    <mergeCell ref="P28:T28"/>
    <mergeCell ref="Y28:AC28"/>
    <mergeCell ref="H29:L29"/>
    <mergeCell ref="P29:T29"/>
    <mergeCell ref="Y29:AC29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C2:H2"/>
    <mergeCell ref="J2:K2"/>
    <mergeCell ref="M2:V2"/>
    <mergeCell ref="C3:H3"/>
    <mergeCell ref="M3:V3"/>
    <mergeCell ref="B4:D4"/>
  </mergeCells>
  <conditionalFormatting sqref="P6:S6">
    <cfRule type="cellIs" priority="4" dxfId="9" operator="equal" stopIfTrue="1">
      <formula>0</formula>
    </cfRule>
  </conditionalFormatting>
  <conditionalFormatting sqref="AF8:AF15">
    <cfRule type="cellIs" priority="1" dxfId="1" operator="equal" stopIfTrue="1">
      <formula>0</formula>
    </cfRule>
  </conditionalFormatting>
  <conditionalFormatting sqref="AF7 N6 H17:H26">
    <cfRule type="cellIs" priority="3" dxfId="10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600" verticalDpi="600" orientation="landscape" paperSize="9" scale="67"/>
  <headerFooter alignWithMargins="0">
    <oddHeader xml:space="preserve">&amp;R&amp;"Arial,Gras"&amp;14   </oddHeader>
    <oddFooter>&amp;C&amp;"Arial,Gras"&amp;14&amp;A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1">
    <pageSetUpPr fitToPage="1"/>
  </sheetPr>
  <dimension ref="A1:AI41"/>
  <sheetViews>
    <sheetView zoomScale="85" zoomScaleNormal="85" workbookViewId="0" topLeftCell="A1">
      <selection activeCell="AC40" sqref="AC40:AD40"/>
    </sheetView>
  </sheetViews>
  <sheetFormatPr defaultColWidth="11.421875" defaultRowHeight="12.75"/>
  <cols>
    <col min="1" max="1" width="4.421875" style="44" customWidth="1"/>
    <col min="2" max="2" width="6.00390625" style="44" customWidth="1"/>
    <col min="3" max="3" width="31.140625" style="44" customWidth="1"/>
    <col min="4" max="5" width="5.28125" style="44" customWidth="1"/>
    <col min="6" max="7" width="5.28125" style="45" customWidth="1"/>
    <col min="8" max="31" width="5.28125" style="44" customWidth="1"/>
    <col min="32" max="33" width="5.7109375" style="44" customWidth="1"/>
    <col min="34" max="16384" width="11.421875" style="44" customWidth="1"/>
  </cols>
  <sheetData>
    <row r="1" spans="6:7" s="41" customFormat="1" ht="90.75" customHeight="1">
      <c r="F1" s="46"/>
      <c r="G1" s="46"/>
    </row>
    <row r="2" spans="1:22" s="41" customFormat="1" ht="25.5" customHeight="1">
      <c r="A2" s="47" t="s">
        <v>70</v>
      </c>
      <c r="B2" s="47"/>
      <c r="C2" s="301" t="str">
        <f>saison</f>
        <v>2023-2024</v>
      </c>
      <c r="D2" s="302"/>
      <c r="E2" s="302"/>
      <c r="F2" s="302"/>
      <c r="G2" s="302"/>
      <c r="H2" s="303"/>
      <c r="I2" s="50"/>
      <c r="J2" s="304" t="s">
        <v>71</v>
      </c>
      <c r="K2" s="304"/>
      <c r="L2" s="125"/>
      <c r="M2" s="305" t="str">
        <f>lieu</f>
        <v>Montluçon</v>
      </c>
      <c r="N2" s="305"/>
      <c r="O2" s="305"/>
      <c r="P2" s="305"/>
      <c r="Q2" s="305"/>
      <c r="R2" s="305"/>
      <c r="S2" s="305"/>
      <c r="T2" s="305"/>
      <c r="U2" s="305"/>
      <c r="V2" s="305"/>
    </row>
    <row r="3" spans="1:22" s="41" customFormat="1" ht="21" customHeight="1">
      <c r="A3" s="47" t="s">
        <v>73</v>
      </c>
      <c r="C3" s="301" t="str">
        <f>date</f>
        <v>18-19 et 20 mai 2024</v>
      </c>
      <c r="D3" s="302"/>
      <c r="E3" s="302"/>
      <c r="F3" s="302"/>
      <c r="G3" s="302"/>
      <c r="H3" s="303"/>
      <c r="I3" s="50"/>
      <c r="J3" s="47" t="s">
        <v>74</v>
      </c>
      <c r="K3" s="126"/>
      <c r="L3" s="125"/>
      <c r="M3" s="301" t="str">
        <f>catégorie</f>
        <v>Division 1 Manche 3</v>
      </c>
      <c r="N3" s="302"/>
      <c r="O3" s="302"/>
      <c r="P3" s="302"/>
      <c r="Q3" s="302"/>
      <c r="R3" s="302"/>
      <c r="S3" s="302"/>
      <c r="T3" s="302"/>
      <c r="U3" s="302"/>
      <c r="V3" s="303"/>
    </row>
    <row r="4" spans="2:16" s="41" customFormat="1" ht="18" customHeight="1">
      <c r="B4" s="306" t="s">
        <v>75</v>
      </c>
      <c r="C4" s="306"/>
      <c r="D4" s="306"/>
      <c r="E4" s="73" t="str">
        <f>duréematch</f>
        <v>2*11' +2' de mi-temps +1' temps mort par  équipe +3' inter-match = 29'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2:16" s="41" customFormat="1" ht="9.75" customHeight="1">
      <c r="B5" s="72"/>
      <c r="C5" s="72"/>
      <c r="D5" s="7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2:15" ht="15.75">
      <c r="B6" s="75"/>
      <c r="D6" s="75"/>
      <c r="E6" s="76"/>
      <c r="H6" s="75"/>
      <c r="I6" s="75"/>
      <c r="J6" s="75"/>
      <c r="K6" s="75"/>
      <c r="L6" s="75"/>
      <c r="M6" s="75"/>
      <c r="N6" s="75"/>
      <c r="O6" s="75"/>
    </row>
    <row r="7" spans="2:35" s="41" customFormat="1" ht="30" customHeight="1">
      <c r="B7" s="77"/>
      <c r="C7" s="47"/>
      <c r="D7" s="78">
        <v>201</v>
      </c>
      <c r="E7" s="78">
        <v>202</v>
      </c>
      <c r="F7" s="78">
        <v>203</v>
      </c>
      <c r="G7" s="78">
        <v>204</v>
      </c>
      <c r="H7" s="78">
        <v>208</v>
      </c>
      <c r="I7" s="78">
        <v>209</v>
      </c>
      <c r="J7" s="78">
        <v>207</v>
      </c>
      <c r="K7" s="78">
        <v>210</v>
      </c>
      <c r="L7" s="78">
        <v>213</v>
      </c>
      <c r="M7" s="78">
        <v>214</v>
      </c>
      <c r="N7" s="78">
        <v>215</v>
      </c>
      <c r="O7" s="78">
        <v>216</v>
      </c>
      <c r="P7" s="78">
        <v>218</v>
      </c>
      <c r="Q7" s="78">
        <v>219</v>
      </c>
      <c r="R7" s="78">
        <v>220</v>
      </c>
      <c r="S7" s="78">
        <v>221</v>
      </c>
      <c r="T7" s="78">
        <v>223</v>
      </c>
      <c r="U7" s="78">
        <v>224</v>
      </c>
      <c r="V7" s="78">
        <v>225</v>
      </c>
      <c r="W7" s="78">
        <v>226</v>
      </c>
      <c r="X7" s="78">
        <v>229</v>
      </c>
      <c r="Y7" s="78">
        <v>230</v>
      </c>
      <c r="Z7" s="78">
        <v>231</v>
      </c>
      <c r="AA7" s="78">
        <v>232</v>
      </c>
      <c r="AB7" s="78">
        <v>235</v>
      </c>
      <c r="AC7" s="78">
        <v>236</v>
      </c>
      <c r="AD7" s="78">
        <v>237</v>
      </c>
      <c r="AE7" s="78">
        <v>238</v>
      </c>
      <c r="AF7" s="95" t="s">
        <v>198</v>
      </c>
      <c r="AG7" s="95" t="s">
        <v>199</v>
      </c>
      <c r="AH7" s="134" t="s">
        <v>200</v>
      </c>
      <c r="AI7" s="134" t="s">
        <v>201</v>
      </c>
    </row>
    <row r="8" spans="2:35" ht="15.75">
      <c r="B8" s="79" t="s">
        <v>148</v>
      </c>
      <c r="C8" s="80" t="str">
        <f>EQFA</f>
        <v>LE CHESNAY F</v>
      </c>
      <c r="D8" s="81">
        <f>IF(Terrain_2!G9&lt;&gt;"",Terrain_2!G9,"")</f>
      </c>
      <c r="E8" s="82"/>
      <c r="F8" s="82"/>
      <c r="G8" s="82"/>
      <c r="H8" s="82"/>
      <c r="I8" s="82"/>
      <c r="J8" s="81">
        <f>IF(Terrain_2!G15&lt;&gt;"",Terrain_2!G15,"")</f>
      </c>
      <c r="K8" s="82"/>
      <c r="L8" s="81">
        <f>IF(Terrain_2!H22&lt;&gt;"",Terrain_2!H22,"")</f>
      </c>
      <c r="M8" s="82"/>
      <c r="N8" s="82"/>
      <c r="O8" s="82"/>
      <c r="P8" s="81">
        <f>IF(Terrain_2!G27&lt;&gt;"",Terrain_2!G27,"")</f>
      </c>
      <c r="Q8" s="82"/>
      <c r="R8" s="82"/>
      <c r="S8" s="82"/>
      <c r="T8" s="81">
        <f>IF(Terrain_2!H34&lt;&gt;"",Terrain_2!H34,"")</f>
      </c>
      <c r="U8" s="82"/>
      <c r="V8" s="82"/>
      <c r="W8" s="82"/>
      <c r="X8" s="82"/>
      <c r="Y8" s="81">
        <f>IF(Terrain_2!H41&lt;&gt;"",Terrain_2!H41,"")</f>
      </c>
      <c r="Z8" s="82"/>
      <c r="AA8" s="82"/>
      <c r="AB8" s="81">
        <f>IF(Terrain_2!G47&lt;&gt;"",Terrain_2!G47,"")</f>
      </c>
      <c r="AC8" s="82"/>
      <c r="AD8" s="82"/>
      <c r="AE8" s="82"/>
      <c r="AF8" s="81">
        <f>CalculPointMatchs(D8,D9,J8,J10,L8,L11,P8,P12,T8,T13,Y8,Y14,AB8,AB15)</f>
      </c>
      <c r="AG8" s="135">
        <f aca="true" t="shared" si="0" ref="AG8:AG15">IF(AE$10="","",RANK(AF8,$AF$8:$AF$15))</f>
      </c>
      <c r="AH8" s="135">
        <f>SUM(D9,J10,L11,P12,T13,Y14,AB15)</f>
        <v>0</v>
      </c>
      <c r="AI8" s="136">
        <f aca="true" t="shared" si="1" ref="AI8:AI15">SUM(D8:AE8)</f>
        <v>0</v>
      </c>
    </row>
    <row r="9" spans="2:35" ht="15.75">
      <c r="B9" s="83" t="s">
        <v>149</v>
      </c>
      <c r="C9" s="84" t="str">
        <f>EQFB</f>
        <v>PONTOISE F</v>
      </c>
      <c r="D9" s="85">
        <f>IF(Terrain_2!H9&lt;&gt;"",Terrain_2!H9,"")</f>
      </c>
      <c r="E9" s="86"/>
      <c r="F9" s="86"/>
      <c r="G9" s="86"/>
      <c r="H9" s="85">
        <f>IF(Terrain_2!G16&lt;&gt;"",Terrain_2!G16,"")</f>
      </c>
      <c r="I9" s="86"/>
      <c r="J9" s="86"/>
      <c r="K9" s="86"/>
      <c r="L9" s="86"/>
      <c r="M9" s="85">
        <f>IF(Terrain_2!G23&lt;&gt;"",Terrain_2!G23,"")</f>
      </c>
      <c r="N9" s="86"/>
      <c r="O9" s="86"/>
      <c r="P9" s="86"/>
      <c r="Q9" s="85">
        <f>IF(Terrain_2!G28&lt;&gt;"",Terrain_2!G28,"")</f>
      </c>
      <c r="R9" s="86"/>
      <c r="S9" s="86"/>
      <c r="T9" s="86"/>
      <c r="U9" s="85">
        <f>IF(Terrain_2!H35&lt;&gt;"",Terrain_2!H35,"")</f>
      </c>
      <c r="V9" s="86"/>
      <c r="W9" s="86"/>
      <c r="X9" s="86"/>
      <c r="Y9" s="86"/>
      <c r="Z9" s="85">
        <f>IF(Terrain_2!G42&lt;&gt;"",Terrain_2!G42,"")</f>
      </c>
      <c r="AA9" s="86"/>
      <c r="AB9" s="86"/>
      <c r="AC9" s="85">
        <f>IF(Terrain_2!H48&lt;&gt;"",Terrain_2!H48,"")</f>
      </c>
      <c r="AD9" s="86"/>
      <c r="AE9" s="86"/>
      <c r="AF9" s="85">
        <f>CalculPointMatchs(D9,D8,H9,H11,M9,M12,Q9,Q13,U9,U10,Z9,Z15,AC9,AC14)</f>
      </c>
      <c r="AG9" s="137">
        <f t="shared" si="0"/>
      </c>
      <c r="AH9" s="137">
        <f>SUM(D8,H11,M12,Q13,U10,Z15,AC14)</f>
        <v>0</v>
      </c>
      <c r="AI9" s="138">
        <f t="shared" si="1"/>
        <v>0</v>
      </c>
    </row>
    <row r="10" spans="2:35" ht="15.75">
      <c r="B10" s="83" t="s">
        <v>150</v>
      </c>
      <c r="C10" s="84" t="str">
        <f>EQFC</f>
        <v>HYERES F</v>
      </c>
      <c r="D10" s="87"/>
      <c r="E10" s="85">
        <f>IF(Terrain_2!G10&lt;&gt;"",Terrain_2!G10,"")</f>
      </c>
      <c r="F10" s="86"/>
      <c r="G10" s="86"/>
      <c r="H10" s="86"/>
      <c r="I10" s="86"/>
      <c r="J10" s="85">
        <f>IF(Terrain_2!H15&lt;&gt;"",Terrain_2!H15,"")</f>
      </c>
      <c r="K10" s="86"/>
      <c r="L10" s="86"/>
      <c r="M10" s="86"/>
      <c r="N10" s="86"/>
      <c r="O10" s="85">
        <f>IF(Terrain_2!H25&lt;&gt;"",Terrain_2!H25,"")</f>
      </c>
      <c r="P10" s="86"/>
      <c r="Q10" s="86"/>
      <c r="R10" s="85">
        <f>IF(Terrain_2!H29&lt;&gt;"",Terrain_2!H29,"")</f>
      </c>
      <c r="S10" s="86"/>
      <c r="T10" s="86"/>
      <c r="U10" s="85">
        <f>IF(Terrain_2!G35&lt;&gt;"",Terrain_2!G35,"")</f>
      </c>
      <c r="V10" s="86"/>
      <c r="W10" s="86"/>
      <c r="X10" s="85">
        <f>IF(Terrain_2!G40&lt;&gt;"",Terrain_2!G40,"")</f>
      </c>
      <c r="Y10" s="86"/>
      <c r="Z10" s="86"/>
      <c r="AA10" s="86"/>
      <c r="AB10" s="86"/>
      <c r="AC10" s="86"/>
      <c r="AD10" s="86"/>
      <c r="AE10" s="85">
        <f>IF(Terrain_2!G50&lt;&gt;"",Terrain_2!G50,"")</f>
      </c>
      <c r="AF10" s="85">
        <f>CalculPointMatchs(E10,E11,J10,J8,O10,O15,R10,R14,U10,U9,X10,X13,AE10,AE12)</f>
      </c>
      <c r="AG10" s="137">
        <f t="shared" si="0"/>
      </c>
      <c r="AH10" s="137">
        <f>SUM(E11,J8,O15,R14,U9,X13,AE12)</f>
        <v>0</v>
      </c>
      <c r="AI10" s="138">
        <f t="shared" si="1"/>
        <v>0</v>
      </c>
    </row>
    <row r="11" spans="2:35" ht="15.75">
      <c r="B11" s="83" t="s">
        <v>151</v>
      </c>
      <c r="C11" s="84" t="str">
        <f>EQFD</f>
        <v>HOPE F</v>
      </c>
      <c r="D11" s="87"/>
      <c r="E11" s="85">
        <f>IF(Terrain_2!H10&lt;&gt;"",Terrain_2!H10,"")</f>
      </c>
      <c r="F11" s="86"/>
      <c r="G11" s="86"/>
      <c r="H11" s="85">
        <f>IF(Terrain_2!H16&lt;&gt;"",Terrain_2!H16,"")</f>
      </c>
      <c r="I11" s="86"/>
      <c r="J11" s="86"/>
      <c r="K11" s="86"/>
      <c r="L11" s="85">
        <f>IF(Terrain_2!G22&lt;&gt;"",Terrain_2!G22,"")</f>
      </c>
      <c r="M11" s="86"/>
      <c r="N11" s="86"/>
      <c r="O11" s="86"/>
      <c r="P11" s="86"/>
      <c r="Q11" s="86"/>
      <c r="R11" s="86"/>
      <c r="S11" s="85">
        <f>IF(Terrain_2!H30&lt;&gt;"",Terrain_2!H30,"")</f>
      </c>
      <c r="T11" s="86"/>
      <c r="U11" s="86"/>
      <c r="V11" s="85">
        <f>IF(Terrain_2!G36&lt;&gt;"",Terrain_2!G36,"")</f>
      </c>
      <c r="W11" s="86"/>
      <c r="X11" s="86"/>
      <c r="Y11" s="86"/>
      <c r="Z11" s="86"/>
      <c r="AA11" s="85">
        <f>IF(Terrain_2!H43&lt;&gt;"",Terrain_2!H43,"")</f>
      </c>
      <c r="AB11" s="86"/>
      <c r="AC11" s="86"/>
      <c r="AD11" s="85">
        <f>IF(Terrain_2!G49&lt;&gt;"",Terrain_2!G49,"")</f>
      </c>
      <c r="AE11" s="86"/>
      <c r="AF11" s="85">
        <f>CalculPointMatchs(E11,E10,H11,H9,L11,L8,S11,S15,V11,V14,AA11,AA12,AD11,AD13)</f>
      </c>
      <c r="AG11" s="137">
        <f t="shared" si="0"/>
      </c>
      <c r="AH11" s="137">
        <f>SUM(E10,H9,L8,S15,V14,AA12,AD13)</f>
        <v>0</v>
      </c>
      <c r="AI11" s="138">
        <f t="shared" si="1"/>
        <v>0</v>
      </c>
    </row>
    <row r="12" spans="2:35" ht="15.75">
      <c r="B12" s="83" t="s">
        <v>152</v>
      </c>
      <c r="C12" s="84" t="str">
        <f>EQFE</f>
        <v>FONTENAY-TRESIGNY F</v>
      </c>
      <c r="D12" s="87"/>
      <c r="E12" s="86"/>
      <c r="F12" s="85">
        <f>IF(Terrain_2!G11&lt;&gt;"",Terrain_2!G11,"")</f>
      </c>
      <c r="G12" s="86"/>
      <c r="H12" s="86"/>
      <c r="I12" s="85">
        <f>IF(Terrain_2!G18&lt;&gt;"",Terrain_2!G18,"")</f>
      </c>
      <c r="J12" s="86"/>
      <c r="K12" s="86"/>
      <c r="L12" s="86"/>
      <c r="M12" s="85">
        <f>IF(Terrain_2!H23&lt;&gt;"",Terrain_2!H23,"")</f>
      </c>
      <c r="N12" s="86"/>
      <c r="O12" s="86"/>
      <c r="P12" s="85">
        <f>IF(Terrain_2!H27&lt;&gt;"",Terrain_2!H27,"")</f>
      </c>
      <c r="Q12" s="86"/>
      <c r="R12" s="86"/>
      <c r="S12" s="86"/>
      <c r="T12" s="86"/>
      <c r="U12" s="86"/>
      <c r="V12" s="86"/>
      <c r="W12" s="85">
        <f>IF(Terrain_2!H37&lt;&gt;"",Terrain_2!H37,"")</f>
      </c>
      <c r="X12" s="86"/>
      <c r="Y12" s="86"/>
      <c r="Z12" s="86"/>
      <c r="AA12" s="85">
        <f>IF(Terrain_2!G43&lt;&gt;"",Terrain_2!G43,"")</f>
      </c>
      <c r="AB12" s="86"/>
      <c r="AC12" s="86"/>
      <c r="AD12" s="86"/>
      <c r="AE12" s="85">
        <f>IF(Terrain_2!H50&lt;&gt;"",Terrain_2!H50,"")</f>
      </c>
      <c r="AF12" s="85">
        <f>CalculPointMatchs(F12,F13,I12,I14,M12,M9,P12,P8,W12,W15,AA12,AA11,AE12,AE10)</f>
      </c>
      <c r="AG12" s="137">
        <f t="shared" si="0"/>
      </c>
      <c r="AH12" s="137">
        <f>SUM(F13,I14,M9,P8,W15,AA11,AE10)</f>
        <v>0</v>
      </c>
      <c r="AI12" s="138">
        <f t="shared" si="1"/>
        <v>0</v>
      </c>
    </row>
    <row r="13" spans="2:35" ht="15.75">
      <c r="B13" s="83" t="s">
        <v>153</v>
      </c>
      <c r="C13" s="84" t="str">
        <f>EQFF</f>
        <v>DINAN F</v>
      </c>
      <c r="D13" s="87"/>
      <c r="E13" s="86"/>
      <c r="F13" s="85">
        <f>IF(Terrain_2!H11&lt;&gt;"",Terrain_2!H11,"")</f>
      </c>
      <c r="G13" s="86"/>
      <c r="H13" s="86"/>
      <c r="I13" s="86"/>
      <c r="J13" s="86"/>
      <c r="K13" s="85">
        <f>IF(Terrain_2!G19&lt;&gt;"",Terrain_2!G19,"")</f>
      </c>
      <c r="L13" s="86"/>
      <c r="M13" s="86"/>
      <c r="N13" s="85">
        <f>IF(Terrain_2!G24&lt;&gt;"",Terrain_2!G24,"")</f>
      </c>
      <c r="O13" s="86"/>
      <c r="P13" s="86"/>
      <c r="Q13" s="85">
        <f>IF(Terrain_2!H28&lt;&gt;"",Terrain_2!H28,"")</f>
      </c>
      <c r="R13" s="86"/>
      <c r="S13" s="86"/>
      <c r="T13" s="85">
        <f>IF(Terrain_2!G34&lt;&gt;"",Terrain_2!G34,"")</f>
      </c>
      <c r="U13" s="86"/>
      <c r="V13" s="86"/>
      <c r="W13" s="86"/>
      <c r="X13" s="85">
        <f>IF(Terrain_2!H40&lt;&gt;"",Terrain_2!H40,"")</f>
      </c>
      <c r="Y13" s="86"/>
      <c r="Z13" s="86"/>
      <c r="AA13" s="86"/>
      <c r="AB13" s="86"/>
      <c r="AC13" s="86"/>
      <c r="AD13" s="85">
        <f>IF(Terrain_2!H49&lt;&gt;"",Terrain_2!H49,"")</f>
      </c>
      <c r="AE13" s="86"/>
      <c r="AF13" s="85">
        <f>CalculPointMatchs(F13,F12,K13,K15,N13,N14,Q13,Q9,T13,T8,X13,X10,AD13,AD11)</f>
      </c>
      <c r="AG13" s="137">
        <f t="shared" si="0"/>
      </c>
      <c r="AH13" s="137">
        <f>SUM(F12,K15,N14,Q9,T8,X10,AD11)</f>
        <v>0</v>
      </c>
      <c r="AI13" s="138">
        <f t="shared" si="1"/>
        <v>0</v>
      </c>
    </row>
    <row r="14" spans="2:35" ht="15.75">
      <c r="B14" s="83" t="s">
        <v>154</v>
      </c>
      <c r="C14" s="84" t="str">
        <f>EQFG</f>
        <v>SAINT-MALO F</v>
      </c>
      <c r="D14" s="87"/>
      <c r="E14" s="86"/>
      <c r="F14" s="86"/>
      <c r="G14" s="85">
        <f>IF(Terrain_2!G12&lt;&gt;"",Terrain_2!G12,"")</f>
      </c>
      <c r="H14" s="86"/>
      <c r="I14" s="85">
        <f>IF(Terrain_2!H18&lt;&gt;"",Terrain_2!H18,"")</f>
      </c>
      <c r="J14" s="86"/>
      <c r="K14" s="86"/>
      <c r="L14" s="86"/>
      <c r="M14" s="86"/>
      <c r="N14" s="85">
        <f>IF(Terrain_2!H24&lt;&gt;"",Terrain_2!H24,"")</f>
      </c>
      <c r="O14" s="86"/>
      <c r="P14" s="86"/>
      <c r="Q14" s="86"/>
      <c r="R14" s="85">
        <f>IF(Terrain_2!G29&lt;&gt;"",Terrain_2!G29,"")</f>
      </c>
      <c r="S14" s="86"/>
      <c r="T14" s="86"/>
      <c r="U14" s="86"/>
      <c r="V14" s="85">
        <f>IF(Terrain_2!H36&lt;&gt;"",Terrain_2!H36,"")</f>
      </c>
      <c r="W14" s="86"/>
      <c r="X14" s="86"/>
      <c r="Y14" s="85">
        <f>IF(Terrain_2!G41&lt;&gt;"",Terrain_2!G41,"")</f>
      </c>
      <c r="Z14" s="86"/>
      <c r="AA14" s="86"/>
      <c r="AB14" s="86"/>
      <c r="AC14" s="85">
        <f>IF(Terrain_2!G48&lt;&gt;"",Terrain_2!G48,"")</f>
      </c>
      <c r="AD14" s="86"/>
      <c r="AE14" s="86"/>
      <c r="AF14" s="85">
        <f>CalculPointMatchs(G14,G15,I14,I12,N14,N13,R14,R10,V14,V11,Y14,Y8,AC14,AC9)</f>
      </c>
      <c r="AG14" s="137">
        <f t="shared" si="0"/>
      </c>
      <c r="AH14" s="137">
        <f>SUM(G15,I12,N13,R10,V11,Y8,AC9)</f>
        <v>0</v>
      </c>
      <c r="AI14" s="138">
        <f t="shared" si="1"/>
        <v>0</v>
      </c>
    </row>
    <row r="15" spans="2:35" ht="15.75">
      <c r="B15" s="88" t="s">
        <v>155</v>
      </c>
      <c r="C15" s="89" t="str">
        <f>EQFH</f>
        <v>MOIRANS F</v>
      </c>
      <c r="D15" s="90"/>
      <c r="E15" s="91"/>
      <c r="F15" s="91"/>
      <c r="G15" s="92">
        <f>IF(Terrain_2!H12&lt;&gt;"",Terrain_2!H12,"")</f>
      </c>
      <c r="H15" s="91"/>
      <c r="I15" s="91"/>
      <c r="J15" s="91"/>
      <c r="K15" s="92">
        <f>IF(Terrain_2!H19&lt;&gt;"",Terrain_2!H19,"")</f>
      </c>
      <c r="L15" s="91"/>
      <c r="M15" s="91"/>
      <c r="N15" s="91"/>
      <c r="O15" s="92">
        <f>IF(Terrain_2!G25&lt;&gt;"",Terrain_2!G25,"")</f>
      </c>
      <c r="P15" s="91"/>
      <c r="Q15" s="91"/>
      <c r="R15" s="91"/>
      <c r="S15" s="92">
        <f>IF(Terrain_2!G30&lt;&gt;"",Terrain_2!G30,"")</f>
      </c>
      <c r="T15" s="91"/>
      <c r="U15" s="91"/>
      <c r="V15" s="91"/>
      <c r="W15" s="92">
        <f>IF(Terrain_2!G37&lt;&gt;"",Terrain_2!G37,"")</f>
      </c>
      <c r="X15" s="91"/>
      <c r="Y15" s="91"/>
      <c r="Z15" s="92">
        <f>IF(Terrain_2!H42&lt;&gt;"",Terrain_2!H42,"")</f>
      </c>
      <c r="AA15" s="91"/>
      <c r="AB15" s="92">
        <f>IF(Terrain_2!H47&lt;&gt;"",Terrain_2!H47,"")</f>
      </c>
      <c r="AC15" s="91"/>
      <c r="AD15" s="91"/>
      <c r="AE15" s="91"/>
      <c r="AF15" s="92">
        <f>CalculPointMatchs(G15,G14,K15,K13,O15,O10,S15,S11,W15,W12,Z15,Z9,AB15,AB8)</f>
      </c>
      <c r="AG15" s="139">
        <f t="shared" si="0"/>
      </c>
      <c r="AH15" s="139">
        <f>SUM(G14,K13,O10,S11,W12,Z9,AB8)</f>
        <v>0</v>
      </c>
      <c r="AI15" s="140">
        <f t="shared" si="1"/>
        <v>0</v>
      </c>
    </row>
    <row r="16" ht="15.75">
      <c r="E16" s="93"/>
    </row>
    <row r="17" ht="15.75">
      <c r="E17" s="93"/>
    </row>
    <row r="18" spans="4:9" ht="15">
      <c r="D18" s="307" t="s">
        <v>276</v>
      </c>
      <c r="E18" s="307"/>
      <c r="F18" s="307" t="s">
        <v>203</v>
      </c>
      <c r="G18" s="307"/>
      <c r="H18" s="95" t="s">
        <v>198</v>
      </c>
      <c r="I18" s="127" t="s">
        <v>199</v>
      </c>
    </row>
    <row r="19" spans="3:9" ht="15.75">
      <c r="C19" s="96" t="str">
        <f>EQFA</f>
        <v>LE CHESNAY F</v>
      </c>
      <c r="D19" s="330">
        <v>8</v>
      </c>
      <c r="E19" s="330"/>
      <c r="F19" s="308">
        <f>_xlfn.IFERROR(9-1.01*INDEX(AG8:AG15,MATCH(C19,C8:C15,0)),"")</f>
      </c>
      <c r="G19" s="308"/>
      <c r="H19" s="97">
        <f>IF(F19="","",SUM(D19:G19))</f>
      </c>
      <c r="I19" s="128">
        <f>IF(F19="","",RANK(H19,$H$19:$H$26))</f>
      </c>
    </row>
    <row r="20" spans="3:9" ht="15.75">
      <c r="C20" s="98" t="str">
        <f>EQFB</f>
        <v>PONTOISE F</v>
      </c>
      <c r="D20" s="331">
        <v>7</v>
      </c>
      <c r="E20" s="331"/>
      <c r="F20" s="309">
        <f>_xlfn.IFERROR(9-1.01*INDEX(AG8:AG15,MATCH(C20,C8:C15,0)),"")</f>
      </c>
      <c r="G20" s="309"/>
      <c r="H20" s="99">
        <f aca="true" t="shared" si="2" ref="H20:H26">IF(F20="","",SUM(D20:G20))</f>
      </c>
      <c r="I20" s="129">
        <f aca="true" t="shared" si="3" ref="I20:I26">IF(F20="","",RANK(H20,$H$19:$H$26))</f>
      </c>
    </row>
    <row r="21" spans="3:9" ht="15.75">
      <c r="C21" s="98" t="str">
        <f>EQFC</f>
        <v>HYERES F</v>
      </c>
      <c r="D21" s="331">
        <v>6</v>
      </c>
      <c r="E21" s="331"/>
      <c r="F21" s="309">
        <f>_xlfn.IFERROR(9-1.01*INDEX(AG8:AG15,MATCH(C21,C8:C15,0)),"")</f>
      </c>
      <c r="G21" s="309"/>
      <c r="H21" s="99">
        <f t="shared" si="2"/>
      </c>
      <c r="I21" s="129">
        <f t="shared" si="3"/>
      </c>
    </row>
    <row r="22" spans="3:9" ht="15.75">
      <c r="C22" s="98" t="str">
        <f>EQFD</f>
        <v>HOPE F</v>
      </c>
      <c r="D22" s="331">
        <v>5</v>
      </c>
      <c r="E22" s="331"/>
      <c r="F22" s="309">
        <f>_xlfn.IFERROR(9-1.01*INDEX(AG8:AG15,MATCH(C22,C8:C15,0)),"")</f>
      </c>
      <c r="G22" s="309"/>
      <c r="H22" s="99">
        <f t="shared" si="2"/>
      </c>
      <c r="I22" s="129">
        <f t="shared" si="3"/>
      </c>
    </row>
    <row r="23" spans="3:9" ht="15.75">
      <c r="C23" s="98" t="str">
        <f>EQFE</f>
        <v>FONTENAY-TRESIGNY F</v>
      </c>
      <c r="D23" s="331">
        <v>4</v>
      </c>
      <c r="E23" s="331"/>
      <c r="F23" s="309">
        <f>_xlfn.IFERROR(9-1.01*INDEX(AG8:AG15,MATCH(C23,C8:C15,0)),"")</f>
      </c>
      <c r="G23" s="309"/>
      <c r="H23" s="99">
        <f t="shared" si="2"/>
      </c>
      <c r="I23" s="129">
        <f t="shared" si="3"/>
      </c>
    </row>
    <row r="24" spans="3:9" ht="15.75">
      <c r="C24" s="98" t="str">
        <f>EQFF</f>
        <v>DINAN F</v>
      </c>
      <c r="D24" s="331">
        <v>3</v>
      </c>
      <c r="E24" s="331"/>
      <c r="F24" s="309">
        <f>_xlfn.IFERROR(9-1.01*INDEX(AG8:AG15,MATCH(C24,C8:C15,0)),"")</f>
      </c>
      <c r="G24" s="309"/>
      <c r="H24" s="99">
        <f t="shared" si="2"/>
      </c>
      <c r="I24" s="129">
        <f t="shared" si="3"/>
      </c>
    </row>
    <row r="25" spans="3:9" ht="15.75">
      <c r="C25" s="98" t="str">
        <f>EQFG</f>
        <v>SAINT-MALO F</v>
      </c>
      <c r="D25" s="331">
        <v>2</v>
      </c>
      <c r="E25" s="331"/>
      <c r="F25" s="309">
        <f>_xlfn.IFERROR(9-1.01*INDEX(AG8:AG15,MATCH(C25,C8:C15,0)),"")</f>
      </c>
      <c r="G25" s="309"/>
      <c r="H25" s="99">
        <f t="shared" si="2"/>
      </c>
      <c r="I25" s="129">
        <f t="shared" si="3"/>
      </c>
    </row>
    <row r="26" spans="3:9" ht="15.75">
      <c r="C26" s="100" t="str">
        <f>EQFH</f>
        <v>MOIRANS F</v>
      </c>
      <c r="D26" s="332">
        <v>1</v>
      </c>
      <c r="E26" s="332"/>
      <c r="F26" s="310">
        <f>_xlfn.IFERROR(9-1.01*INDEX(AG8:AG15,MATCH(C26,C8:C15,0)),"")</f>
      </c>
      <c r="G26" s="310"/>
      <c r="H26" s="101">
        <f t="shared" si="2"/>
      </c>
      <c r="I26" s="130">
        <f t="shared" si="3"/>
      </c>
    </row>
    <row r="27" ht="15.75">
      <c r="E27" s="93"/>
    </row>
    <row r="28" spans="3:32" ht="18">
      <c r="C28" s="102"/>
      <c r="E28" s="93"/>
      <c r="H28" s="102"/>
      <c r="I28" s="102"/>
      <c r="J28" s="102"/>
      <c r="K28" s="102"/>
      <c r="L28" s="102"/>
      <c r="M28" s="102"/>
      <c r="Y28" s="102"/>
      <c r="Z28" s="102"/>
      <c r="AA28" s="102"/>
      <c r="AB28" s="102"/>
      <c r="AC28" s="102"/>
      <c r="AD28" s="102"/>
      <c r="AE28" s="102"/>
      <c r="AF28" s="102"/>
    </row>
    <row r="29" spans="3:32" ht="18">
      <c r="C29" s="102" t="s">
        <v>277</v>
      </c>
      <c r="D29" s="102"/>
      <c r="E29" s="45"/>
      <c r="F29" s="44"/>
      <c r="G29" s="44"/>
      <c r="H29" s="102" t="s">
        <v>278</v>
      </c>
      <c r="I29" s="102"/>
      <c r="J29" s="102"/>
      <c r="K29" s="102"/>
      <c r="L29" s="102"/>
      <c r="M29" s="102"/>
      <c r="P29" s="102" t="s">
        <v>279</v>
      </c>
      <c r="Q29" s="102"/>
      <c r="R29" s="102"/>
      <c r="S29" s="102"/>
      <c r="T29" s="102"/>
      <c r="U29" s="132"/>
      <c r="V29" s="75"/>
      <c r="Y29" s="102" t="s">
        <v>280</v>
      </c>
      <c r="Z29" s="102"/>
      <c r="AA29" s="102"/>
      <c r="AB29" s="102"/>
      <c r="AC29" s="102"/>
      <c r="AD29" s="102"/>
      <c r="AE29" s="102"/>
      <c r="AF29" s="102"/>
    </row>
    <row r="30" spans="1:32" ht="18">
      <c r="A30" s="71"/>
      <c r="B30" s="103" t="s">
        <v>281</v>
      </c>
      <c r="C30" s="104">
        <f>_xlfn.IFERROR(INDEX(C19:C26,MATCH(1,I19:I26,0)),"")</f>
      </c>
      <c r="D30" s="105">
        <f>IF(Terrain_2!$G53="","",Terrain_2!$G53)</f>
      </c>
      <c r="E30" s="106"/>
      <c r="F30" s="107"/>
      <c r="G30" s="103" t="s">
        <v>282</v>
      </c>
      <c r="H30" s="316">
        <f>_xlfn.IFERROR(INDEX(C19:C26,MATCH(4,I19:I26,0)),"")</f>
      </c>
      <c r="I30" s="316"/>
      <c r="J30" s="316"/>
      <c r="K30" s="316"/>
      <c r="L30" s="316"/>
      <c r="M30" s="105">
        <f>IF(Terrain_2!$G54="","",Terrain_2!$G54)</f>
      </c>
      <c r="N30" s="71"/>
      <c r="O30" s="103" t="s">
        <v>283</v>
      </c>
      <c r="P30" s="316">
        <f>_xlfn.IFERROR(INDEX(C19:C26,MATCH(3,I19:I26,0)),"")</f>
      </c>
      <c r="Q30" s="316"/>
      <c r="R30" s="316"/>
      <c r="S30" s="316"/>
      <c r="T30" s="316"/>
      <c r="U30" s="105">
        <f>IF(Terrain_2!$G55="","",Terrain_2!$G55)</f>
      </c>
      <c r="V30" s="107"/>
      <c r="W30" s="106"/>
      <c r="X30" s="103" t="s">
        <v>284</v>
      </c>
      <c r="Y30" s="316">
        <f>_xlfn.IFERROR(INDEX(C19:C26,MATCH(2,I19:I26,0)),"")</f>
      </c>
      <c r="Z30" s="316"/>
      <c r="AA30" s="316"/>
      <c r="AB30" s="316"/>
      <c r="AC30" s="316"/>
      <c r="AD30" s="105">
        <f>IF(Terrain_2!$G56="","",Terrain_2!$G56)</f>
      </c>
      <c r="AE30" s="102"/>
      <c r="AF30" s="102"/>
    </row>
    <row r="31" spans="1:32" ht="18">
      <c r="A31" s="71"/>
      <c r="B31" s="108" t="s">
        <v>285</v>
      </c>
      <c r="C31" s="109">
        <f>_xlfn.IFERROR(INDEX(C19:C26,MATCH(8,I19:I26,0)),"")</f>
      </c>
      <c r="D31" s="110">
        <f>IF(Terrain_2!$H53="","",Terrain_2!$H53)</f>
      </c>
      <c r="E31" s="106"/>
      <c r="F31" s="107"/>
      <c r="G31" s="108" t="s">
        <v>286</v>
      </c>
      <c r="H31" s="319">
        <f>_xlfn.IFERROR(INDEX(C19:C26,MATCH(5,I19:I26,0)),"")</f>
      </c>
      <c r="I31" s="319"/>
      <c r="J31" s="319"/>
      <c r="K31" s="319"/>
      <c r="L31" s="319"/>
      <c r="M31" s="110">
        <f>IF(Terrain_2!$H54="","",Terrain_2!$H54)</f>
      </c>
      <c r="N31" s="71"/>
      <c r="O31" s="108" t="s">
        <v>287</v>
      </c>
      <c r="P31" s="319">
        <f>_xlfn.IFERROR(INDEX(C19:C26,MATCH(6,I19:I26,0)),"")</f>
      </c>
      <c r="Q31" s="319"/>
      <c r="R31" s="319"/>
      <c r="S31" s="319"/>
      <c r="T31" s="319"/>
      <c r="U31" s="110">
        <f>IF(Terrain_2!$H55="","",Terrain_2!$H55)</f>
      </c>
      <c r="V31" s="107"/>
      <c r="W31" s="106"/>
      <c r="X31" s="108" t="s">
        <v>288</v>
      </c>
      <c r="Y31" s="319">
        <f>_xlfn.IFERROR(INDEX(C19:C26,MATCH(7,I19:I26,0)),"")</f>
      </c>
      <c r="Z31" s="319"/>
      <c r="AA31" s="319"/>
      <c r="AB31" s="319"/>
      <c r="AC31" s="319"/>
      <c r="AD31" s="110">
        <f>IF(Terrain_2!$H56="","",Terrain_2!$H56)</f>
      </c>
      <c r="AE31" s="102"/>
      <c r="AF31" s="102"/>
    </row>
    <row r="32" spans="1:32" ht="18">
      <c r="A32" s="52"/>
      <c r="B32" s="111"/>
      <c r="C32" s="112"/>
      <c r="D32" s="112"/>
      <c r="E32" s="52"/>
      <c r="F32" s="53"/>
      <c r="G32" s="53"/>
      <c r="H32" s="112"/>
      <c r="I32" s="112"/>
      <c r="J32" s="112"/>
      <c r="K32" s="112"/>
      <c r="L32" s="112"/>
      <c r="M32" s="112"/>
      <c r="N32" s="131"/>
      <c r="O32" s="52"/>
      <c r="P32" s="112"/>
      <c r="Q32" s="112"/>
      <c r="R32" s="112"/>
      <c r="S32" s="112"/>
      <c r="T32" s="112"/>
      <c r="U32" s="112"/>
      <c r="V32" s="52"/>
      <c r="W32" s="52"/>
      <c r="X32" s="52"/>
      <c r="Y32" s="112"/>
      <c r="Z32" s="112"/>
      <c r="AA32" s="112"/>
      <c r="AB32" s="112"/>
      <c r="AC32" s="112"/>
      <c r="AD32" s="112"/>
      <c r="AE32" s="102"/>
      <c r="AF32" s="102"/>
    </row>
    <row r="33" spans="1:32" ht="18">
      <c r="A33" s="52"/>
      <c r="B33" s="52"/>
      <c r="C33" s="112" t="s">
        <v>289</v>
      </c>
      <c r="D33" s="112"/>
      <c r="E33" s="53"/>
      <c r="F33" s="52"/>
      <c r="G33" s="52"/>
      <c r="H33" s="112" t="s">
        <v>290</v>
      </c>
      <c r="I33" s="112"/>
      <c r="J33" s="112"/>
      <c r="K33" s="112"/>
      <c r="L33" s="112"/>
      <c r="M33" s="112"/>
      <c r="N33" s="52"/>
      <c r="O33" s="52"/>
      <c r="P33" s="112" t="s">
        <v>291</v>
      </c>
      <c r="Q33" s="112"/>
      <c r="R33" s="112"/>
      <c r="S33" s="112"/>
      <c r="T33" s="112"/>
      <c r="U33" s="133"/>
      <c r="V33" s="111"/>
      <c r="W33" s="52"/>
      <c r="X33" s="52"/>
      <c r="Y33" s="112" t="s">
        <v>292</v>
      </c>
      <c r="Z33" s="112"/>
      <c r="AA33" s="112"/>
      <c r="AB33" s="112"/>
      <c r="AC33" s="112"/>
      <c r="AD33" s="112"/>
      <c r="AE33" s="102"/>
      <c r="AF33" s="102"/>
    </row>
    <row r="34" spans="1:32" s="71" customFormat="1" ht="18">
      <c r="A34" s="113"/>
      <c r="B34" s="114" t="s">
        <v>293</v>
      </c>
      <c r="C34" s="104">
        <f>Perdant(H30:M31)</f>
      </c>
      <c r="D34" s="105">
        <f>IF(Terrain_2!$H64="","",Terrain_2!$H64)</f>
      </c>
      <c r="E34" s="115"/>
      <c r="F34" s="116"/>
      <c r="G34" s="114" t="s">
        <v>294</v>
      </c>
      <c r="H34" s="316">
        <f>Perdant(Y30:AD31)</f>
      </c>
      <c r="I34" s="316">
        <f>IF(J30="","",IF(J30&lt;J31,I30,I31))</f>
      </c>
      <c r="J34" s="316">
        <f>IF(K30="","",IF(K30&lt;K31,J30,J31))</f>
      </c>
      <c r="K34" s="316">
        <f>IF(L30="","",IF(L30&lt;L31,K30,K31))</f>
      </c>
      <c r="L34" s="316">
        <f>IF(M30="","",IF(M30&lt;M31,L30,L31))</f>
      </c>
      <c r="M34" s="105">
        <f>IF(Terrain_2!$H65="","",Terrain_2!$H65)</f>
      </c>
      <c r="N34" s="113"/>
      <c r="O34" s="114" t="s">
        <v>295</v>
      </c>
      <c r="P34" s="316">
        <f>Gagnant(H30:M31)</f>
      </c>
      <c r="Q34" s="316"/>
      <c r="R34" s="316"/>
      <c r="S34" s="316"/>
      <c r="T34" s="316"/>
      <c r="U34" s="105">
        <f>IF(Terrain_2!$H66="","",Terrain_2!$H66)</f>
      </c>
      <c r="V34" s="116"/>
      <c r="W34" s="115"/>
      <c r="X34" s="114" t="s">
        <v>296</v>
      </c>
      <c r="Y34" s="316">
        <f>Gagnant(Y30:AD31)</f>
      </c>
      <c r="Z34" s="316"/>
      <c r="AA34" s="316"/>
      <c r="AB34" s="316"/>
      <c r="AC34" s="316"/>
      <c r="AD34" s="105">
        <f>IF(Terrain_2!$H67="","",Terrain_2!$H67)</f>
      </c>
      <c r="AE34" s="102"/>
      <c r="AF34" s="102"/>
    </row>
    <row r="35" spans="1:32" s="71" customFormat="1" ht="18">
      <c r="A35" s="113"/>
      <c r="B35" s="117" t="s">
        <v>297</v>
      </c>
      <c r="C35" s="109">
        <f>Perdant(C30:D31)</f>
      </c>
      <c r="D35" s="110">
        <f>IF(Terrain_2!$G64="","",Terrain_2!$G64)</f>
      </c>
      <c r="E35" s="115"/>
      <c r="F35" s="116"/>
      <c r="G35" s="117" t="s">
        <v>298</v>
      </c>
      <c r="H35" s="319">
        <f>Perdant(P30:U31)</f>
      </c>
      <c r="I35" s="319">
        <f>IF(S30="","",IF(S30&lt;S31,N30,N31))</f>
      </c>
      <c r="J35" s="319">
        <f>IF(T30="","",IF(T30&lt;T31,O30,O31))</f>
      </c>
      <c r="K35" s="319">
        <f>IF(U30="","",IF(U30&lt;U31,P30,P31))</f>
      </c>
      <c r="L35" s="319">
        <f>IF(V30="","",IF(V30&lt;V31,Q30,Q31))</f>
      </c>
      <c r="M35" s="110">
        <f>IF(Terrain_2!$G65="","",Terrain_2!$G65)</f>
      </c>
      <c r="N35" s="113"/>
      <c r="O35" s="117" t="s">
        <v>299</v>
      </c>
      <c r="P35" s="319">
        <f>Gagnant(C30:D31)</f>
      </c>
      <c r="Q35" s="319"/>
      <c r="R35" s="319"/>
      <c r="S35" s="319"/>
      <c r="T35" s="319"/>
      <c r="U35" s="110">
        <f>IF(Terrain_2!$G66="","",Terrain_2!$G66)</f>
      </c>
      <c r="V35" s="116"/>
      <c r="W35" s="115"/>
      <c r="X35" s="117" t="s">
        <v>300</v>
      </c>
      <c r="Y35" s="319">
        <f>Gagnant(P30:U31)</f>
      </c>
      <c r="Z35" s="319"/>
      <c r="AA35" s="319"/>
      <c r="AB35" s="319"/>
      <c r="AC35" s="319"/>
      <c r="AD35" s="110">
        <f>IF(Terrain_2!$G67="","",Terrain_2!$G67)</f>
      </c>
      <c r="AE35" s="102"/>
      <c r="AF35" s="102"/>
    </row>
    <row r="36" spans="1:32" ht="18">
      <c r="A36" s="52"/>
      <c r="B36" s="111"/>
      <c r="C36" s="112"/>
      <c r="D36" s="112"/>
      <c r="E36" s="52"/>
      <c r="F36" s="53"/>
      <c r="G36" s="53"/>
      <c r="H36" s="112"/>
      <c r="I36" s="112"/>
      <c r="J36" s="112"/>
      <c r="K36" s="112"/>
      <c r="L36" s="112"/>
      <c r="M36" s="112"/>
      <c r="N36" s="131"/>
      <c r="O36" s="52"/>
      <c r="P36" s="112"/>
      <c r="Q36" s="112"/>
      <c r="R36" s="112"/>
      <c r="S36" s="112"/>
      <c r="T36" s="112"/>
      <c r="U36" s="112"/>
      <c r="V36" s="52"/>
      <c r="W36" s="52"/>
      <c r="X36" s="52"/>
      <c r="Y36" s="112"/>
      <c r="Z36" s="112"/>
      <c r="AA36" s="112"/>
      <c r="AB36" s="112"/>
      <c r="AC36" s="112"/>
      <c r="AD36" s="112"/>
      <c r="AE36" s="102"/>
      <c r="AF36" s="102"/>
    </row>
    <row r="37" spans="1:32" ht="18">
      <c r="A37" s="52"/>
      <c r="B37" s="52"/>
      <c r="C37" s="112" t="s">
        <v>301</v>
      </c>
      <c r="D37" s="52"/>
      <c r="E37" s="53"/>
      <c r="F37" s="52"/>
      <c r="G37" s="52"/>
      <c r="H37" s="112" t="s">
        <v>302</v>
      </c>
      <c r="I37" s="112"/>
      <c r="J37" s="112"/>
      <c r="M37" s="52"/>
      <c r="N37" s="52"/>
      <c r="O37" s="52"/>
      <c r="P37" s="112" t="s">
        <v>303</v>
      </c>
      <c r="Q37" s="112"/>
      <c r="R37" s="112"/>
      <c r="U37" s="52"/>
      <c r="V37" s="111"/>
      <c r="W37" s="52"/>
      <c r="X37" s="52"/>
      <c r="Y37" s="112" t="s">
        <v>304</v>
      </c>
      <c r="Z37" s="112"/>
      <c r="AA37" s="112"/>
      <c r="AB37" s="112"/>
      <c r="AD37" s="52"/>
      <c r="AE37" s="102"/>
      <c r="AF37" s="102"/>
    </row>
    <row r="38" spans="1:32" s="71" customFormat="1" ht="18">
      <c r="A38" s="113"/>
      <c r="B38" s="118" t="s">
        <v>305</v>
      </c>
      <c r="C38" s="119">
        <f>Perdant(C34:D35)</f>
      </c>
      <c r="D38" s="120">
        <f>IF(Terrain_2!$H71="","",Terrain_2!$H71)</f>
      </c>
      <c r="E38" s="115"/>
      <c r="F38" s="116"/>
      <c r="G38" s="118" t="s">
        <v>306</v>
      </c>
      <c r="H38" s="325">
        <f>Gagnant(C34:D35)</f>
      </c>
      <c r="I38" s="325"/>
      <c r="J38" s="325"/>
      <c r="K38" s="325"/>
      <c r="L38" s="325"/>
      <c r="M38" s="120">
        <f>IF(Terrain_2!$H73="","",Terrain_2!$H73)</f>
      </c>
      <c r="N38" s="113"/>
      <c r="O38" s="118" t="s">
        <v>307</v>
      </c>
      <c r="P38" s="325">
        <f>Perdant(P34:U35)</f>
      </c>
      <c r="Q38" s="325">
        <f>IF(J34="","",IF(J34&lt;J35,I34,I35))</f>
      </c>
      <c r="R38" s="325">
        <f>IF(K34="","",IF(K34&lt;K35,J34,J35))</f>
      </c>
      <c r="S38" s="325">
        <f>IF(L34="","",IF(L34&lt;L35,K34,K35))</f>
      </c>
      <c r="T38" s="325">
        <f>IF(M34="","",IF(M34&lt;M35,L34,L35))</f>
      </c>
      <c r="U38" s="120">
        <f>IF(Terrain_2!$H76="","",Terrain_2!$H76)</f>
      </c>
      <c r="V38" s="116"/>
      <c r="W38" s="115"/>
      <c r="X38" s="118" t="s">
        <v>308</v>
      </c>
      <c r="Y38" s="325">
        <f>Gagnant(P34:U35)</f>
      </c>
      <c r="Z38" s="325"/>
      <c r="AA38" s="325"/>
      <c r="AB38" s="325"/>
      <c r="AC38" s="325"/>
      <c r="AD38" s="120">
        <f>IF(Terrain_2!H75="","",Terrain_2!H75)</f>
      </c>
      <c r="AE38" s="102"/>
      <c r="AF38" s="102"/>
    </row>
    <row r="39" spans="1:32" s="71" customFormat="1" ht="18">
      <c r="A39" s="113"/>
      <c r="B39" s="121" t="s">
        <v>309</v>
      </c>
      <c r="C39" s="122">
        <f>Perdant(H34:M35)</f>
      </c>
      <c r="D39" s="123">
        <f>IF(Terrain_2!$G71="","",Terrain_2!$G71)</f>
      </c>
      <c r="E39" s="115"/>
      <c r="F39" s="116"/>
      <c r="G39" s="121" t="s">
        <v>310</v>
      </c>
      <c r="H39" s="326">
        <f>Gagnant(H34:M35)</f>
      </c>
      <c r="I39" s="326"/>
      <c r="J39" s="326"/>
      <c r="K39" s="326"/>
      <c r="L39" s="326"/>
      <c r="M39" s="123">
        <f>IF(Terrain_2!$G73="","",Terrain_2!$G73)</f>
      </c>
      <c r="N39" s="113"/>
      <c r="O39" s="121" t="s">
        <v>311</v>
      </c>
      <c r="P39" s="326">
        <f>Perdant(Y34:AD35)</f>
      </c>
      <c r="Q39" s="326">
        <f>IF(S34="","",IF(S34&lt;S35,N34,N35))</f>
      </c>
      <c r="R39" s="326">
        <f>IF(T34="","",IF(T34&lt;T35,O34,O35))</f>
      </c>
      <c r="S39" s="326">
        <f>IF(U34="","",IF(U34&lt;U35,P34,P35))</f>
      </c>
      <c r="T39" s="326">
        <f>IF(V34="","",IF(V34&lt;V35,Q34,Q35))</f>
      </c>
      <c r="U39" s="123">
        <f>IF(Terrain_2!$G76="","",Terrain_2!$G76)</f>
      </c>
      <c r="V39" s="116"/>
      <c r="W39" s="115"/>
      <c r="X39" s="121" t="s">
        <v>312</v>
      </c>
      <c r="Y39" s="326">
        <f>Gagnant(Y34:AD35)</f>
      </c>
      <c r="Z39" s="326"/>
      <c r="AA39" s="326"/>
      <c r="AB39" s="326"/>
      <c r="AC39" s="326"/>
      <c r="AD39" s="123">
        <f>IF(Terrain_2!$G75="","",Terrain_2!G75)</f>
      </c>
      <c r="AE39" s="102"/>
      <c r="AF39" s="102"/>
    </row>
    <row r="40" spans="3:32" ht="21">
      <c r="C40" s="124" t="s">
        <v>273</v>
      </c>
      <c r="I40" s="328" t="s">
        <v>274</v>
      </c>
      <c r="J40" s="328"/>
      <c r="K40" s="328"/>
      <c r="L40" s="328"/>
      <c r="M40" s="328"/>
      <c r="P40" s="102"/>
      <c r="Q40" s="102"/>
      <c r="R40" s="328" t="s">
        <v>275</v>
      </c>
      <c r="S40" s="328"/>
      <c r="T40" s="328"/>
      <c r="U40" s="328"/>
      <c r="V40" s="328"/>
      <c r="Y40" s="102"/>
      <c r="Z40" s="102"/>
      <c r="AA40" s="102"/>
      <c r="AB40" s="102"/>
      <c r="AC40" s="329" t="s">
        <v>243</v>
      </c>
      <c r="AD40" s="329"/>
      <c r="AE40" s="102"/>
      <c r="AF40" s="102"/>
    </row>
    <row r="41" spans="16:21" ht="18">
      <c r="P41" s="102"/>
      <c r="Q41" s="102"/>
      <c r="R41" s="102"/>
      <c r="S41" s="102"/>
      <c r="T41" s="102"/>
      <c r="U41" s="102"/>
    </row>
  </sheetData>
  <sheetProtection/>
  <mergeCells count="45">
    <mergeCell ref="I40:M40"/>
    <mergeCell ref="R40:V40"/>
    <mergeCell ref="AC40:AD40"/>
    <mergeCell ref="H38:L38"/>
    <mergeCell ref="P38:T38"/>
    <mergeCell ref="Y38:AC38"/>
    <mergeCell ref="H39:L39"/>
    <mergeCell ref="P39:T39"/>
    <mergeCell ref="Y39:AC39"/>
    <mergeCell ref="H34:L34"/>
    <mergeCell ref="P34:T34"/>
    <mergeCell ref="Y34:AC34"/>
    <mergeCell ref="H35:L35"/>
    <mergeCell ref="P35:T35"/>
    <mergeCell ref="Y35:AC35"/>
    <mergeCell ref="H30:L30"/>
    <mergeCell ref="P30:T30"/>
    <mergeCell ref="Y30:AC30"/>
    <mergeCell ref="H31:L31"/>
    <mergeCell ref="P31:T31"/>
    <mergeCell ref="Y31:AC31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C2:H2"/>
    <mergeCell ref="J2:K2"/>
    <mergeCell ref="M2:V2"/>
    <mergeCell ref="C3:H3"/>
    <mergeCell ref="M3:V3"/>
    <mergeCell ref="B4:D4"/>
  </mergeCells>
  <conditionalFormatting sqref="P6:S6">
    <cfRule type="cellIs" priority="3" dxfId="2" operator="equal" stopIfTrue="1">
      <formula>0</formula>
    </cfRule>
  </conditionalFormatting>
  <conditionalFormatting sqref="AF8:AF15">
    <cfRule type="cellIs" priority="1" dxfId="1" operator="equal" stopIfTrue="1">
      <formula>0</formula>
    </cfRule>
  </conditionalFormatting>
  <conditionalFormatting sqref="AF7:AF15 N6 H18:H26">
    <cfRule type="cellIs" priority="2" dxfId="0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600" verticalDpi="600" orientation="landscape" paperSize="9" scale="66"/>
  <headerFooter alignWithMargins="0">
    <oddHeader xml:space="preserve">&amp;R&amp;"Arial,Gras"&amp;14   </oddHeader>
    <oddFooter>&amp;C&amp;"Arial,Gras"&amp;14&amp;A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G36"/>
  <sheetViews>
    <sheetView workbookViewId="0" topLeftCell="A5">
      <selection activeCell="B2" sqref="B2"/>
    </sheetView>
  </sheetViews>
  <sheetFormatPr defaultColWidth="11.421875" defaultRowHeight="12.75"/>
  <cols>
    <col min="1" max="1" width="24.57421875" style="42" customWidth="1"/>
    <col min="2" max="2" width="30.28125" style="42" customWidth="1"/>
    <col min="3" max="3" width="11.57421875" style="42" customWidth="1"/>
    <col min="4" max="4" width="12.7109375" style="42" customWidth="1"/>
    <col min="5" max="5" width="4.8515625" style="42" customWidth="1"/>
    <col min="6" max="6" width="4.8515625" style="43" customWidth="1"/>
    <col min="7" max="16384" width="11.421875" style="17" customWidth="1"/>
  </cols>
  <sheetData>
    <row r="1" spans="1:6" s="40" customFormat="1" ht="9.75" customHeight="1">
      <c r="A1" s="44"/>
      <c r="B1" s="44"/>
      <c r="C1" s="44"/>
      <c r="D1" s="44"/>
      <c r="E1" s="44"/>
      <c r="F1" s="45"/>
    </row>
    <row r="2" spans="6:7" s="41" customFormat="1" ht="63" customHeight="1">
      <c r="F2" s="46"/>
      <c r="G2" s="46"/>
    </row>
    <row r="3" spans="1:4" s="41" customFormat="1" ht="25.5" customHeight="1">
      <c r="A3" s="47" t="s">
        <v>70</v>
      </c>
      <c r="B3" s="48" t="str">
        <f>saison</f>
        <v>2023-2024</v>
      </c>
      <c r="C3" s="49"/>
      <c r="D3" s="50"/>
    </row>
    <row r="4" spans="1:4" s="41" customFormat="1" ht="21" customHeight="1">
      <c r="A4" s="47" t="s">
        <v>73</v>
      </c>
      <c r="B4" s="48" t="str">
        <f>date</f>
        <v>18-19 et 20 mai 2024</v>
      </c>
      <c r="C4" s="49"/>
      <c r="D4" s="50"/>
    </row>
    <row r="5" spans="1:6" s="40" customFormat="1" ht="15.75">
      <c r="A5" s="44"/>
      <c r="B5" s="44"/>
      <c r="C5" s="44"/>
      <c r="D5" s="44"/>
      <c r="E5" s="44"/>
      <c r="F5" s="45"/>
    </row>
    <row r="6" spans="1:3" s="40" customFormat="1" ht="18">
      <c r="A6" s="47" t="s">
        <v>71</v>
      </c>
      <c r="B6" s="48" t="str">
        <f>lieu</f>
        <v>Montluçon</v>
      </c>
      <c r="C6" s="51"/>
    </row>
    <row r="7" spans="1:3" s="40" customFormat="1" ht="18">
      <c r="A7" s="47" t="s">
        <v>74</v>
      </c>
      <c r="B7" s="48" t="str">
        <f>catégorie</f>
        <v>Division 1 Manche 3</v>
      </c>
      <c r="C7" s="49"/>
    </row>
    <row r="8" spans="1:6" ht="15.75">
      <c r="A8" s="52"/>
      <c r="B8" s="52"/>
      <c r="C8" s="52"/>
      <c r="D8" s="52"/>
      <c r="E8" s="52"/>
      <c r="F8" s="53"/>
    </row>
    <row r="10" spans="1:3" ht="21.75" customHeight="1">
      <c r="A10" s="54" t="s">
        <v>313</v>
      </c>
      <c r="B10" s="55">
        <f>Gagnant(Féminines!Y38:AD39)</f>
      </c>
      <c r="C10" s="56">
        <v>1</v>
      </c>
    </row>
    <row r="11" spans="2:3" ht="21.75" customHeight="1">
      <c r="B11" s="57">
        <f>Perdant(Féminines!Y38:AD39)</f>
      </c>
      <c r="C11" s="58">
        <v>2</v>
      </c>
    </row>
    <row r="12" spans="2:3" ht="21.75" customHeight="1">
      <c r="B12" s="57">
        <f>Gagnant(Féminines!P38:U39)</f>
      </c>
      <c r="C12" s="58">
        <v>3</v>
      </c>
    </row>
    <row r="13" spans="2:3" ht="21.75" customHeight="1">
      <c r="B13" s="57">
        <f>Perdant(Féminines!P38:U39)</f>
      </c>
      <c r="C13" s="58">
        <v>4</v>
      </c>
    </row>
    <row r="14" spans="2:3" ht="21.75" customHeight="1">
      <c r="B14" s="57">
        <f>Gagnant(Féminines!H38:M39)</f>
      </c>
      <c r="C14" s="58">
        <v>5</v>
      </c>
    </row>
    <row r="15" spans="2:3" ht="21.75" customHeight="1">
      <c r="B15" s="57">
        <f>Perdant(Féminines!H38:M39)</f>
      </c>
      <c r="C15" s="58">
        <v>6</v>
      </c>
    </row>
    <row r="16" spans="2:3" ht="21.75" customHeight="1">
      <c r="B16" s="57">
        <f>Gagnant(Féminines!C38:D39)</f>
      </c>
      <c r="C16" s="58">
        <v>7</v>
      </c>
    </row>
    <row r="17" spans="2:3" ht="21.75" customHeight="1">
      <c r="B17" s="59">
        <f>Perdant(Féminines!C38:D39)</f>
      </c>
      <c r="C17" s="60">
        <v>8</v>
      </c>
    </row>
    <row r="19" spans="1:4" ht="25.5" customHeight="1">
      <c r="A19" s="54" t="s">
        <v>314</v>
      </c>
      <c r="B19" s="61">
        <f>Gagnant('Groupe A'!Y42:AD43)</f>
      </c>
      <c r="C19" s="62">
        <v>1</v>
      </c>
      <c r="D19" s="335" t="s">
        <v>315</v>
      </c>
    </row>
    <row r="20" spans="2:4" ht="25.5" customHeight="1">
      <c r="B20" s="63">
        <f>Perdant('Groupe A'!Y42:AD43)</f>
      </c>
      <c r="C20" s="64">
        <v>2</v>
      </c>
      <c r="D20" s="336"/>
    </row>
    <row r="21" spans="2:4" ht="25.5" customHeight="1">
      <c r="B21" s="63">
        <f>Gagnant('Groupe A'!P42:U43)</f>
      </c>
      <c r="C21" s="64">
        <v>3</v>
      </c>
      <c r="D21" s="336"/>
    </row>
    <row r="22" spans="2:4" ht="25.5" customHeight="1">
      <c r="B22" s="63">
        <f>Perdant('Groupe A'!P42:U43)</f>
      </c>
      <c r="C22" s="64">
        <v>4</v>
      </c>
      <c r="D22" s="336"/>
    </row>
    <row r="23" spans="2:4" ht="25.5" customHeight="1">
      <c r="B23" s="63">
        <f>Gagnant('Groupe A'!H42:M43)</f>
      </c>
      <c r="C23" s="64">
        <v>5</v>
      </c>
      <c r="D23" s="336"/>
    </row>
    <row r="24" spans="2:4" ht="25.5" customHeight="1">
      <c r="B24" s="63">
        <f>Perdant('Groupe A'!H42:M43)</f>
      </c>
      <c r="C24" s="64">
        <v>6</v>
      </c>
      <c r="D24" s="336"/>
    </row>
    <row r="25" spans="2:7" s="42" customFormat="1" ht="25.5" customHeight="1">
      <c r="B25" s="63">
        <f>Gagnant('Groupe A'!C42:D43)</f>
      </c>
      <c r="C25" s="64">
        <v>7</v>
      </c>
      <c r="D25" s="336"/>
      <c r="F25" s="43"/>
      <c r="G25" s="17"/>
    </row>
    <row r="26" spans="2:7" s="42" customFormat="1" ht="25.5" customHeight="1">
      <c r="B26" s="65">
        <f>Perdant('Groupe A'!C42:D43)</f>
      </c>
      <c r="C26" s="66">
        <v>8</v>
      </c>
      <c r="D26" s="336"/>
      <c r="F26" s="43"/>
      <c r="G26" s="17"/>
    </row>
    <row r="27" spans="2:4" ht="25.5" customHeight="1">
      <c r="B27" s="52"/>
      <c r="D27" s="336"/>
    </row>
    <row r="28" spans="1:4" ht="25.5" customHeight="1">
      <c r="A28" s="54" t="s">
        <v>316</v>
      </c>
      <c r="B28" s="61">
        <f>Gagnant('Groupe B'!Y36:AD37)</f>
      </c>
      <c r="C28" s="62" t="s">
        <v>317</v>
      </c>
      <c r="D28" s="336"/>
    </row>
    <row r="29" spans="2:4" ht="25.5" customHeight="1">
      <c r="B29" s="63">
        <f>Perdant('Groupe B'!Y36:AD37)</f>
      </c>
      <c r="C29" s="64" t="s">
        <v>318</v>
      </c>
      <c r="D29" s="337"/>
    </row>
    <row r="30" spans="2:4" ht="25.5" customHeight="1">
      <c r="B30" s="67">
        <f>Gagnant('Groupe B'!P36:U37)</f>
      </c>
      <c r="C30" s="68" t="s">
        <v>319</v>
      </c>
      <c r="D30" s="338" t="s">
        <v>320</v>
      </c>
    </row>
    <row r="31" spans="2:4" ht="25.5" customHeight="1">
      <c r="B31" s="67">
        <f>Perdant('Groupe B'!P36:U37)</f>
      </c>
      <c r="C31" s="68" t="s">
        <v>321</v>
      </c>
      <c r="D31" s="339"/>
    </row>
    <row r="32" spans="2:4" ht="25.5" customHeight="1">
      <c r="B32" s="67">
        <f>Gagnant('Groupe B'!H36:M37)</f>
      </c>
      <c r="C32" s="68" t="s">
        <v>322</v>
      </c>
      <c r="D32" s="339"/>
    </row>
    <row r="33" spans="2:4" ht="25.5" customHeight="1">
      <c r="B33" s="67">
        <f>Perdant('Groupe B'!H36:M37)</f>
      </c>
      <c r="C33" s="68" t="s">
        <v>323</v>
      </c>
      <c r="D33" s="339"/>
    </row>
    <row r="34" spans="2:4" ht="25.5" customHeight="1">
      <c r="B34" s="67">
        <f>Gagnant('Groupe B'!C36:D37)</f>
      </c>
      <c r="C34" s="68" t="s">
        <v>324</v>
      </c>
      <c r="D34" s="339"/>
    </row>
    <row r="35" spans="2:4" ht="25.5" customHeight="1">
      <c r="B35" s="69">
        <f>Perdant('Groupe B'!C36:D37)</f>
      </c>
      <c r="C35" s="70" t="s">
        <v>325</v>
      </c>
      <c r="D35" s="340"/>
    </row>
    <row r="36" ht="15.75">
      <c r="B36" s="52"/>
    </row>
  </sheetData>
  <sheetProtection/>
  <mergeCells count="2">
    <mergeCell ref="D19:D29"/>
    <mergeCell ref="D30:D35"/>
  </mergeCells>
  <printOptions/>
  <pageMargins left="0.7874015748031497" right="0.7874015748031497" top="0.9842519685039371" bottom="0.9842519685039371" header="0.5118110236220472" footer="0.5118110236220472"/>
  <pageSetup fitToHeight="1" fitToWidth="1" horizontalDpi="600" verticalDpi="600" orientation="portrait" paperSize="9" scale="8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workbookViewId="0" topLeftCell="A1">
      <selection activeCell="A1" sqref="A1:IV16384"/>
    </sheetView>
  </sheetViews>
  <sheetFormatPr defaultColWidth="11.421875" defaultRowHeight="12.75"/>
  <cols>
    <col min="1" max="1" width="17.140625" style="32" customWidth="1"/>
    <col min="2" max="2" width="19.8515625" style="33" customWidth="1"/>
    <col min="3" max="3" width="17.8515625" style="33" customWidth="1"/>
    <col min="4" max="4" width="20.8515625" style="32" bestFit="1" customWidth="1"/>
    <col min="5" max="6" width="12.7109375" style="33" customWidth="1"/>
    <col min="7" max="7" width="11.140625" style="34" customWidth="1"/>
    <col min="8" max="10" width="11.421875" style="34" customWidth="1"/>
    <col min="11" max="16384" width="11.421875" style="33" customWidth="1"/>
  </cols>
  <sheetData>
    <row r="1" spans="1:11" ht="12.75">
      <c r="A1" s="35" t="s">
        <v>41</v>
      </c>
      <c r="B1" s="36" t="s">
        <v>326</v>
      </c>
      <c r="C1" s="36" t="s">
        <v>327</v>
      </c>
      <c r="D1" s="35" t="s">
        <v>328</v>
      </c>
      <c r="E1" s="37" t="s">
        <v>329</v>
      </c>
      <c r="F1" s="37" t="s">
        <v>330</v>
      </c>
      <c r="G1" s="37" t="s">
        <v>331</v>
      </c>
      <c r="H1" s="38" t="s">
        <v>332</v>
      </c>
      <c r="I1" s="38" t="s">
        <v>333</v>
      </c>
      <c r="J1" s="38" t="s">
        <v>334</v>
      </c>
      <c r="K1" s="39" t="s">
        <v>335</v>
      </c>
    </row>
    <row r="2" spans="1:11" ht="12.75">
      <c r="A2" s="32" t="s">
        <v>13</v>
      </c>
      <c r="B2" s="33" t="s">
        <v>67</v>
      </c>
      <c r="C2" s="33" t="s">
        <v>56</v>
      </c>
      <c r="D2" s="32" t="s">
        <v>336</v>
      </c>
      <c r="E2" s="34">
        <f>COUNTIF(Terrain_1!M$9:M$80,$D2)</f>
        <v>0</v>
      </c>
      <c r="F2" s="34">
        <f>COUNTIF(Terrain_1!N$9:O$80,$D2)</f>
        <v>0</v>
      </c>
      <c r="G2" s="34">
        <v>1</v>
      </c>
      <c r="H2" s="34">
        <v>17</v>
      </c>
      <c r="I2" s="34">
        <v>0</v>
      </c>
      <c r="J2" s="34">
        <v>0</v>
      </c>
      <c r="K2" s="33" t="s">
        <v>337</v>
      </c>
    </row>
    <row r="3" spans="1:11" ht="12.75">
      <c r="A3" s="32" t="s">
        <v>20</v>
      </c>
      <c r="B3" s="33" t="s">
        <v>68</v>
      </c>
      <c r="C3" s="33" t="s">
        <v>54</v>
      </c>
      <c r="D3" s="32" t="s">
        <v>338</v>
      </c>
      <c r="E3" s="34">
        <f>COUNTIF(Terrain_1!M$9:M$80,$D3)</f>
        <v>0</v>
      </c>
      <c r="F3" s="34">
        <f>COUNTIF(Terrain_1!N$9:O$80,$D3)</f>
        <v>0</v>
      </c>
      <c r="G3" s="34">
        <v>1</v>
      </c>
      <c r="H3" s="34">
        <v>16</v>
      </c>
      <c r="I3" s="34">
        <v>0</v>
      </c>
      <c r="J3" s="34">
        <v>0</v>
      </c>
      <c r="K3" s="33" t="s">
        <v>339</v>
      </c>
    </row>
    <row r="4" spans="1:11" ht="12.75">
      <c r="A4" s="32" t="s">
        <v>26</v>
      </c>
      <c r="B4" s="33" t="s">
        <v>65</v>
      </c>
      <c r="C4" s="33" t="s">
        <v>52</v>
      </c>
      <c r="D4" s="32" t="s">
        <v>340</v>
      </c>
      <c r="E4" s="34">
        <f>COUNTIF(Terrain_1!M$9:M$80,$D4)</f>
        <v>0</v>
      </c>
      <c r="F4" s="34">
        <f>COUNTIF(Terrain_1!N$9:O$80,$D4)</f>
        <v>0</v>
      </c>
      <c r="G4" s="34">
        <v>1</v>
      </c>
      <c r="H4" s="34">
        <v>18</v>
      </c>
      <c r="I4" s="34">
        <v>0</v>
      </c>
      <c r="J4" s="34">
        <v>0</v>
      </c>
      <c r="K4" s="33" t="s">
        <v>341</v>
      </c>
    </row>
    <row r="5" spans="1:11" ht="12.75">
      <c r="A5" s="32" t="s">
        <v>21</v>
      </c>
      <c r="B5" s="33" t="s">
        <v>66</v>
      </c>
      <c r="C5" s="33" t="s">
        <v>54</v>
      </c>
      <c r="D5" s="32" t="s">
        <v>342</v>
      </c>
      <c r="E5" s="34">
        <f>COUNTIF(Terrain_1!M$9:M$80,$D5)</f>
        <v>0</v>
      </c>
      <c r="F5" s="34">
        <f>COUNTIF(Terrain_1!N$9:O$80,$D5)</f>
        <v>0</v>
      </c>
      <c r="G5" s="34">
        <v>1</v>
      </c>
      <c r="H5" s="34">
        <v>16</v>
      </c>
      <c r="I5" s="34">
        <v>0</v>
      </c>
      <c r="J5" s="34">
        <v>0</v>
      </c>
      <c r="K5" s="33" t="s">
        <v>343</v>
      </c>
    </row>
    <row r="6" spans="1:11" ht="12.75">
      <c r="A6" s="32" t="s">
        <v>15</v>
      </c>
      <c r="B6" s="33" t="s">
        <v>63</v>
      </c>
      <c r="C6" s="33" t="s">
        <v>48</v>
      </c>
      <c r="D6" s="32" t="s">
        <v>344</v>
      </c>
      <c r="E6" s="34">
        <f>COUNTIF(Terrain_1!M$9:M$80,$D6)</f>
        <v>0</v>
      </c>
      <c r="F6" s="34">
        <f>COUNTIF(Terrain_1!N$9:O$80,$D6)</f>
        <v>0</v>
      </c>
      <c r="G6" s="34">
        <v>1</v>
      </c>
      <c r="H6" s="34">
        <v>15</v>
      </c>
      <c r="I6" s="34">
        <v>0</v>
      </c>
      <c r="J6" s="34">
        <v>0</v>
      </c>
      <c r="K6" s="33" t="s">
        <v>345</v>
      </c>
    </row>
    <row r="7" spans="1:11" ht="12.75">
      <c r="A7" s="32" t="s">
        <v>14</v>
      </c>
      <c r="B7" s="33" t="s">
        <v>64</v>
      </c>
      <c r="C7" s="33" t="s">
        <v>50</v>
      </c>
      <c r="D7" s="32" t="s">
        <v>346</v>
      </c>
      <c r="E7" s="34">
        <f>COUNTIF(Terrain_1!M$9:M$80,$D7)</f>
        <v>0</v>
      </c>
      <c r="F7" s="34">
        <f>COUNTIF(Terrain_1!N$9:O$80,$D7)</f>
        <v>0</v>
      </c>
      <c r="G7" s="34">
        <v>1</v>
      </c>
      <c r="H7" s="34">
        <v>15</v>
      </c>
      <c r="I7" s="34">
        <v>0</v>
      </c>
      <c r="J7" s="34">
        <v>0</v>
      </c>
      <c r="K7" s="33" t="s">
        <v>347</v>
      </c>
    </row>
    <row r="8" spans="1:11" ht="12.75">
      <c r="A8" s="32" t="s">
        <v>16</v>
      </c>
      <c r="B8" s="33" t="s">
        <v>61</v>
      </c>
      <c r="C8" s="33" t="s">
        <v>43</v>
      </c>
      <c r="D8" s="32" t="s">
        <v>348</v>
      </c>
      <c r="E8" s="34">
        <f>COUNTIF(Terrain_1!M$9:M$80,$D8)</f>
        <v>0</v>
      </c>
      <c r="F8" s="34">
        <f>COUNTIF(Terrain_1!N$9:O$80,$D8)</f>
        <v>0</v>
      </c>
      <c r="G8" s="34">
        <v>7</v>
      </c>
      <c r="H8" s="34">
        <v>16</v>
      </c>
      <c r="I8" s="34">
        <v>0</v>
      </c>
      <c r="J8" s="34">
        <v>0</v>
      </c>
      <c r="K8" s="33" t="s">
        <v>349</v>
      </c>
    </row>
    <row r="9" spans="1:11" ht="12.75">
      <c r="A9" s="32" t="s">
        <v>46</v>
      </c>
      <c r="B9" s="33" t="s">
        <v>62</v>
      </c>
      <c r="C9" s="33" t="s">
        <v>45</v>
      </c>
      <c r="D9" s="32" t="s">
        <v>350</v>
      </c>
      <c r="E9" s="34">
        <f>COUNTIF(Terrain_1!M$9:M$80,$D9)</f>
        <v>0</v>
      </c>
      <c r="F9" s="34">
        <f>COUNTIF(Terrain_1!N$9:O$80,$D9)</f>
        <v>0</v>
      </c>
      <c r="G9" s="34">
        <v>7</v>
      </c>
      <c r="H9" s="34">
        <v>15</v>
      </c>
      <c r="I9" s="34">
        <v>0</v>
      </c>
      <c r="J9" s="34">
        <v>0</v>
      </c>
      <c r="K9" s="33" t="s">
        <v>351</v>
      </c>
    </row>
    <row r="10" spans="5:6" ht="12.75">
      <c r="E10" s="34"/>
      <c r="F10" s="34"/>
    </row>
    <row r="11" spans="5:6" ht="12.75">
      <c r="E11" s="34"/>
      <c r="F11" s="34"/>
    </row>
    <row r="12" spans="5:6" ht="12.75">
      <c r="E12" s="34"/>
      <c r="F12" s="34"/>
    </row>
    <row r="13" spans="5:6" ht="12.75">
      <c r="E13" s="34"/>
      <c r="F13" s="34"/>
    </row>
    <row r="14" spans="5:6" ht="12.75">
      <c r="E14" s="34"/>
      <c r="F14" s="34"/>
    </row>
    <row r="15" spans="5:6" ht="12.75">
      <c r="E15" s="34"/>
      <c r="F15" s="34"/>
    </row>
    <row r="16" spans="5:6" ht="12.75">
      <c r="E16" s="34"/>
      <c r="F16" s="34"/>
    </row>
    <row r="17" spans="5:6" ht="12.75">
      <c r="E17" s="34"/>
      <c r="F17" s="34"/>
    </row>
    <row r="18" spans="5:6" ht="12.75">
      <c r="E18" s="34"/>
      <c r="F18" s="34"/>
    </row>
    <row r="19" spans="5:6" ht="12.75">
      <c r="E19" s="34"/>
      <c r="F19" s="34"/>
    </row>
    <row r="20" spans="5:6" ht="12.75">
      <c r="E20" s="34"/>
      <c r="F20" s="34"/>
    </row>
    <row r="21" spans="5:6" ht="12.75">
      <c r="E21" s="34"/>
      <c r="F21" s="34"/>
    </row>
    <row r="22" spans="5:6" ht="12.75">
      <c r="E22" s="34"/>
      <c r="F22" s="34"/>
    </row>
    <row r="23" spans="5:6" ht="12.75">
      <c r="E23" s="34"/>
      <c r="F23" s="34"/>
    </row>
    <row r="24" spans="5:6" ht="12.75">
      <c r="E24" s="34"/>
      <c r="F24" s="34"/>
    </row>
    <row r="25" spans="5:6" ht="12.75">
      <c r="E25" s="34"/>
      <c r="F25" s="34"/>
    </row>
    <row r="26" spans="5:6" ht="12.75">
      <c r="E26" s="34"/>
      <c r="F26" s="34"/>
    </row>
    <row r="27" spans="5:6" ht="12.75">
      <c r="E27" s="34"/>
      <c r="F27" s="34"/>
    </row>
    <row r="28" spans="5:6" ht="12.75">
      <c r="E28" s="34"/>
      <c r="F28" s="34"/>
    </row>
    <row r="29" spans="5:6" ht="12.75">
      <c r="E29" s="34"/>
      <c r="F29" s="3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8:H32"/>
  <sheetViews>
    <sheetView workbookViewId="0" topLeftCell="A3">
      <selection activeCell="H9" sqref="H9"/>
    </sheetView>
  </sheetViews>
  <sheetFormatPr defaultColWidth="11.421875" defaultRowHeight="12.75"/>
  <cols>
    <col min="1" max="1" width="14.7109375" style="17" customWidth="1"/>
    <col min="2" max="2" width="17.28125" style="17" customWidth="1"/>
    <col min="3" max="3" width="15.8515625" style="17" customWidth="1"/>
    <col min="4" max="4" width="10.28125" style="17" customWidth="1"/>
    <col min="5" max="5" width="21.421875" style="17" customWidth="1"/>
    <col min="6" max="6" width="20.140625" style="17" customWidth="1"/>
    <col min="7" max="7" width="32.7109375" style="17" customWidth="1"/>
    <col min="8" max="8" width="18.140625" style="17" customWidth="1"/>
    <col min="9" max="9" width="11.421875" style="17" customWidth="1"/>
    <col min="10" max="10" width="28.140625" style="17" customWidth="1"/>
    <col min="11" max="16384" width="11.421875" style="17" customWidth="1"/>
  </cols>
  <sheetData>
    <row r="8" spans="2:7" ht="18">
      <c r="B8" s="18" t="s">
        <v>70</v>
      </c>
      <c r="C8" s="341" t="str">
        <f>saison</f>
        <v>2023-2024</v>
      </c>
      <c r="D8" s="342"/>
      <c r="E8" s="19"/>
      <c r="F8" s="18" t="s">
        <v>71</v>
      </c>
      <c r="G8" s="20" t="str">
        <f>lieu</f>
        <v>Montluçon</v>
      </c>
    </row>
    <row r="9" spans="2:5" ht="18">
      <c r="B9" s="18" t="s">
        <v>73</v>
      </c>
      <c r="C9" s="343" t="str">
        <f>date</f>
        <v>18-19 et 20 mai 2024</v>
      </c>
      <c r="D9" s="344"/>
      <c r="E9" s="345"/>
    </row>
    <row r="10" spans="2:5" ht="15">
      <c r="B10" s="21"/>
      <c r="C10" s="21"/>
      <c r="D10" s="21"/>
      <c r="E10" s="21"/>
    </row>
    <row r="11" spans="2:5" ht="12.75">
      <c r="B11" s="17" t="s">
        <v>352</v>
      </c>
      <c r="E11" s="22"/>
    </row>
    <row r="12" ht="12.75">
      <c r="E12" s="22"/>
    </row>
    <row r="13" spans="1:7" s="1" customFormat="1" ht="18" customHeight="1">
      <c r="A13" s="23" t="s">
        <v>353</v>
      </c>
      <c r="B13" s="23" t="s">
        <v>326</v>
      </c>
      <c r="C13" s="23" t="s">
        <v>40</v>
      </c>
      <c r="D13" s="23" t="s">
        <v>354</v>
      </c>
      <c r="E13" s="23" t="s">
        <v>355</v>
      </c>
      <c r="F13" s="23" t="s">
        <v>356</v>
      </c>
      <c r="G13" s="23" t="s">
        <v>357</v>
      </c>
    </row>
    <row r="14" spans="1:7" s="1" customFormat="1" ht="40.5" customHeight="1">
      <c r="A14" s="24" t="s">
        <v>358</v>
      </c>
      <c r="B14" s="25" t="s">
        <v>359</v>
      </c>
      <c r="C14" s="25" t="s">
        <v>360</v>
      </c>
      <c r="D14" s="26" t="s">
        <v>361</v>
      </c>
      <c r="E14" s="27" t="s">
        <v>362</v>
      </c>
      <c r="F14" s="27" t="s">
        <v>363</v>
      </c>
      <c r="G14" s="24"/>
    </row>
    <row r="15" spans="1:8" s="1" customFormat="1" ht="40.5" customHeight="1">
      <c r="A15" s="28" t="s">
        <v>364</v>
      </c>
      <c r="B15" s="25" t="s">
        <v>365</v>
      </c>
      <c r="C15" s="25" t="s">
        <v>366</v>
      </c>
      <c r="D15" s="26" t="s">
        <v>361</v>
      </c>
      <c r="E15" s="27" t="s">
        <v>362</v>
      </c>
      <c r="F15" s="27" t="s">
        <v>363</v>
      </c>
      <c r="G15" s="24"/>
      <c r="H15" s="29"/>
    </row>
    <row r="16" spans="1:8" s="1" customFormat="1" ht="40.5" customHeight="1">
      <c r="A16" s="24" t="s">
        <v>367</v>
      </c>
      <c r="B16" s="25"/>
      <c r="C16" s="25"/>
      <c r="D16" s="26"/>
      <c r="E16" s="24"/>
      <c r="F16" s="24"/>
      <c r="G16" s="24"/>
      <c r="H16" s="30"/>
    </row>
    <row r="17" spans="1:8" s="1" customFormat="1" ht="40.5" customHeight="1">
      <c r="A17" s="24" t="s">
        <v>367</v>
      </c>
      <c r="B17" s="25"/>
      <c r="C17" s="25"/>
      <c r="D17" s="26"/>
      <c r="E17" s="24"/>
      <c r="F17" s="24"/>
      <c r="G17" s="24"/>
      <c r="H17" s="30"/>
    </row>
    <row r="18" spans="1:8" s="1" customFormat="1" ht="40.5" customHeight="1">
      <c r="A18" s="24" t="s">
        <v>367</v>
      </c>
      <c r="B18" s="25"/>
      <c r="C18" s="25"/>
      <c r="D18" s="26"/>
      <c r="E18" s="24"/>
      <c r="F18" s="24"/>
      <c r="G18" s="24"/>
      <c r="H18" s="30"/>
    </row>
    <row r="19" spans="1:8" s="1" customFormat="1" ht="40.5" customHeight="1">
      <c r="A19" s="24" t="s">
        <v>367</v>
      </c>
      <c r="B19" s="25"/>
      <c r="C19" s="25"/>
      <c r="D19" s="26"/>
      <c r="E19" s="31"/>
      <c r="F19" s="31"/>
      <c r="G19" s="24"/>
      <c r="H19" s="30"/>
    </row>
    <row r="20" spans="1:8" s="1" customFormat="1" ht="40.5" customHeight="1">
      <c r="A20" s="24" t="s">
        <v>367</v>
      </c>
      <c r="B20" s="25"/>
      <c r="C20" s="25"/>
      <c r="D20" s="26"/>
      <c r="E20" s="31"/>
      <c r="F20" s="31"/>
      <c r="G20" s="24"/>
      <c r="H20" s="30"/>
    </row>
    <row r="21" spans="1:8" s="1" customFormat="1" ht="40.5" customHeight="1">
      <c r="A21" s="24" t="s">
        <v>367</v>
      </c>
      <c r="B21" s="25"/>
      <c r="C21" s="25"/>
      <c r="D21" s="26"/>
      <c r="E21" s="24"/>
      <c r="F21" s="24"/>
      <c r="G21" s="24"/>
      <c r="H21" s="30"/>
    </row>
    <row r="22" spans="1:8" s="1" customFormat="1" ht="40.5" customHeight="1">
      <c r="A22" s="24" t="s">
        <v>367</v>
      </c>
      <c r="B22" s="25"/>
      <c r="C22" s="25"/>
      <c r="D22" s="26"/>
      <c r="E22" s="24"/>
      <c r="F22" s="24"/>
      <c r="G22" s="24"/>
      <c r="H22" s="30"/>
    </row>
    <row r="23" spans="1:8" s="1" customFormat="1" ht="40.5" customHeight="1">
      <c r="A23" s="24" t="s">
        <v>367</v>
      </c>
      <c r="B23" s="25"/>
      <c r="C23" s="25"/>
      <c r="D23" s="26"/>
      <c r="E23" s="24"/>
      <c r="F23" s="24"/>
      <c r="G23" s="24"/>
      <c r="H23" s="30"/>
    </row>
    <row r="24" spans="1:8" s="1" customFormat="1" ht="40.5" customHeight="1">
      <c r="A24" s="24" t="s">
        <v>367</v>
      </c>
      <c r="B24" s="25"/>
      <c r="C24" s="25"/>
      <c r="D24" s="26"/>
      <c r="E24" s="24"/>
      <c r="F24" s="24"/>
      <c r="G24" s="24"/>
      <c r="H24" s="30"/>
    </row>
    <row r="25" spans="1:8" s="1" customFormat="1" ht="40.5" customHeight="1">
      <c r="A25" s="24" t="s">
        <v>367</v>
      </c>
      <c r="B25" s="25"/>
      <c r="C25" s="25"/>
      <c r="D25" s="26"/>
      <c r="E25" s="31"/>
      <c r="F25" s="31"/>
      <c r="G25" s="24"/>
      <c r="H25" s="30"/>
    </row>
    <row r="26" spans="1:8" s="1" customFormat="1" ht="40.5" customHeight="1">
      <c r="A26" s="24" t="s">
        <v>367</v>
      </c>
      <c r="B26" s="25"/>
      <c r="C26" s="25"/>
      <c r="D26" s="26"/>
      <c r="E26" s="24"/>
      <c r="F26" s="24"/>
      <c r="G26" s="24"/>
      <c r="H26" s="30"/>
    </row>
    <row r="27" spans="1:8" s="1" customFormat="1" ht="40.5" customHeight="1">
      <c r="A27" s="24" t="s">
        <v>367</v>
      </c>
      <c r="B27" s="25"/>
      <c r="C27" s="25"/>
      <c r="D27" s="26"/>
      <c r="E27" s="24"/>
      <c r="F27" s="24"/>
      <c r="G27" s="24"/>
      <c r="H27" s="30"/>
    </row>
    <row r="28" spans="1:8" s="1" customFormat="1" ht="40.5" customHeight="1">
      <c r="A28" s="24" t="s">
        <v>367</v>
      </c>
      <c r="B28" s="25"/>
      <c r="C28" s="25"/>
      <c r="D28" s="26"/>
      <c r="E28" s="24"/>
      <c r="F28" s="24"/>
      <c r="G28" s="24"/>
      <c r="H28" s="30"/>
    </row>
    <row r="29" spans="1:8" s="1" customFormat="1" ht="40.5" customHeight="1">
      <c r="A29" s="24" t="s">
        <v>367</v>
      </c>
      <c r="B29" s="25"/>
      <c r="C29" s="25"/>
      <c r="D29" s="26"/>
      <c r="E29" s="24"/>
      <c r="F29" s="24"/>
      <c r="G29" s="24"/>
      <c r="H29" s="30"/>
    </row>
    <row r="30" spans="1:8" s="1" customFormat="1" ht="40.5" customHeight="1">
      <c r="A30" s="24" t="s">
        <v>367</v>
      </c>
      <c r="B30" s="25"/>
      <c r="C30" s="25"/>
      <c r="D30" s="26"/>
      <c r="E30" s="24"/>
      <c r="F30" s="24"/>
      <c r="G30" s="24"/>
      <c r="H30" s="30"/>
    </row>
    <row r="31" spans="1:8" s="1" customFormat="1" ht="40.5" customHeight="1">
      <c r="A31" s="24" t="s">
        <v>367</v>
      </c>
      <c r="B31" s="25"/>
      <c r="C31" s="25"/>
      <c r="D31" s="27"/>
      <c r="E31" s="24"/>
      <c r="F31" s="24"/>
      <c r="G31" s="24"/>
      <c r="H31" s="30"/>
    </row>
    <row r="32" spans="1:8" s="1" customFormat="1" ht="40.5" customHeight="1">
      <c r="A32" s="24" t="s">
        <v>367</v>
      </c>
      <c r="B32" s="25"/>
      <c r="C32" s="25"/>
      <c r="D32" s="27"/>
      <c r="E32" s="24"/>
      <c r="F32" s="24"/>
      <c r="G32" s="24"/>
      <c r="H32" s="30"/>
    </row>
  </sheetData>
  <sheetProtection/>
  <mergeCells count="2">
    <mergeCell ref="C8:D8"/>
    <mergeCell ref="C9:E9"/>
  </mergeCells>
  <printOptions/>
  <pageMargins left="0.37" right="0.35" top="0.7480314960629921" bottom="0.7480314960629921" header="0.31496062992125984" footer="0.31496062992125984"/>
  <pageSetup fitToHeight="1" fitToWidth="1" orientation="portrait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Thierry</cp:lastModifiedBy>
  <cp:lastPrinted>2018-02-22T21:40:01Z</cp:lastPrinted>
  <dcterms:created xsi:type="dcterms:W3CDTF">1997-11-08T13:41:57Z</dcterms:created>
  <dcterms:modified xsi:type="dcterms:W3CDTF">2024-04-27T16:50:11Z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B6D19E6E99544108BFE21CD8E28766CE_13</vt:lpwstr>
  </property>
  <property fmtid="{D5CDD505-2E9C-101B-9397-08002B2CF9AE}" pid="3" name="KSOProductBuildVer">
    <vt:lpwstr>1036-12.2.0.16731</vt:lpwstr>
  </property>
</Properties>
</file>